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45" windowWidth="13515" windowHeight="11640" tabRatio="916"/>
  </bookViews>
  <sheets>
    <sheet name="Паспорт программы" sheetId="1" r:id="rId1"/>
    <sheet name="Ф1-Целевые показатели программ" sheetId="3" r:id="rId2"/>
    <sheet name="Ф2-Перечень меропр с прям зат " sheetId="4" r:id="rId3"/>
    <sheet name="Ф3-Перечень меропр с сопут эф" sheetId="5" r:id="rId4"/>
    <sheet name="Ф4-Показатели баланса" sheetId="7" r:id="rId5"/>
    <sheet name="Ф5-Справочно Показатели работы" sheetId="2" r:id="rId6"/>
  </sheets>
  <definedNames>
    <definedName name="CaseList">#REF!</definedName>
    <definedName name="DimList">#REF!</definedName>
    <definedName name="FinList">#REF!</definedName>
    <definedName name="_xlnm.Print_Titles" localSheetId="1">'Ф1-Целевые показатели программ'!$4:$6</definedName>
    <definedName name="_xlnm.Print_Titles" localSheetId="2">'Ф2-Перечень меропр с прям зат '!$C:$D,'Ф2-Перечень меропр с прям зат '!$4:$7</definedName>
    <definedName name="_xlnm.Print_Titles" localSheetId="3">'Ф3-Перечень меропр с сопут эф'!$4:$7</definedName>
    <definedName name="_xlnm.Print_Titles" localSheetId="4">'Ф4-Показатели баланса'!$4:$6</definedName>
    <definedName name="_xlnm.Print_Titles" localSheetId="5">'Ф5-Справочно Показатели работы'!$4:$6</definedName>
    <definedName name="_xlnm.Print_Area" localSheetId="0">'Паспорт программы'!$A$1:$AB$51</definedName>
    <definedName name="_xlnm.Print_Area" localSheetId="1">'Ф1-Целевые показатели программ'!$A$1:$AA$106</definedName>
    <definedName name="_xlnm.Print_Area" localSheetId="2">'Ф2-Перечень меропр с прям зат '!$A$1:$BR$130</definedName>
    <definedName name="_xlnm.Print_Area" localSheetId="3">'Ф3-Перечень меропр с сопут эф'!$A$1:$AG$21</definedName>
    <definedName name="_xlnm.Print_Area" localSheetId="4">'Ф4-Показатели баланса'!$A$1:$K$80</definedName>
    <definedName name="_xlnm.Print_Area" localSheetId="5">'Ф5-Справочно Показатели работы'!$A$1:$D$90</definedName>
  </definedNames>
  <calcPr calcId="125725"/>
</workbook>
</file>

<file path=xl/calcChain.xml><?xml version="1.0" encoding="utf-8"?>
<calcChain xmlns="http://schemas.openxmlformats.org/spreadsheetml/2006/main">
  <c r="D85" i="2"/>
  <c r="D84"/>
  <c r="D86"/>
  <c r="D82"/>
  <c r="D81"/>
  <c r="D78"/>
  <c r="D79"/>
  <c r="D76"/>
  <c r="D75"/>
  <c r="D77"/>
  <c r="D73"/>
  <c r="D72"/>
  <c r="D74"/>
  <c r="D80"/>
  <c r="D83"/>
  <c r="D52"/>
  <c r="D51"/>
  <c r="D50"/>
  <c r="D49"/>
  <c r="S16" i="5" l="1"/>
  <c r="P16"/>
  <c r="M16"/>
  <c r="J16"/>
  <c r="U8" l="1"/>
  <c r="L30" i="1"/>
  <c r="BI20" i="4"/>
  <c r="BH20"/>
  <c r="BG20"/>
  <c r="BF20"/>
  <c r="BE20"/>
  <c r="P19" l="1"/>
  <c r="O19"/>
  <c r="N19"/>
  <c r="M19"/>
  <c r="L19"/>
  <c r="K19"/>
  <c r="J19"/>
  <c r="I19"/>
  <c r="I18"/>
  <c r="J18"/>
  <c r="K18"/>
  <c r="L18"/>
  <c r="M18"/>
  <c r="N18"/>
  <c r="O18"/>
  <c r="P18"/>
  <c r="J34" i="3" l="1"/>
  <c r="I34"/>
  <c r="H34"/>
  <c r="K22"/>
  <c r="K34" s="1"/>
  <c r="H23" l="1"/>
  <c r="G17"/>
  <c r="I37"/>
  <c r="J33"/>
  <c r="G16"/>
  <c r="J25"/>
  <c r="I25"/>
  <c r="J36"/>
  <c r="I36"/>
  <c r="I32"/>
  <c r="K24"/>
  <c r="H24"/>
  <c r="AE16" i="5"/>
  <c r="AB16"/>
  <c r="Y16"/>
  <c r="V16"/>
  <c r="AN13"/>
  <c r="AN19" s="1"/>
  <c r="AM13"/>
  <c r="AM19" s="1"/>
  <c r="AL13"/>
  <c r="AL19" s="1"/>
  <c r="AK13"/>
  <c r="AK19" s="1"/>
  <c r="AJ13"/>
  <c r="K40" i="7"/>
  <c r="J40"/>
  <c r="I40"/>
  <c r="H40"/>
  <c r="G40"/>
  <c r="F40"/>
  <c r="E40"/>
  <c r="D40"/>
  <c r="K35" i="3"/>
  <c r="K31"/>
  <c r="K23"/>
  <c r="J35"/>
  <c r="J31"/>
  <c r="J23"/>
  <c r="I35"/>
  <c r="I31"/>
  <c r="I23"/>
  <c r="H35"/>
  <c r="H31"/>
  <c r="K37"/>
  <c r="H37"/>
  <c r="F37"/>
  <c r="K36"/>
  <c r="F36"/>
  <c r="F35"/>
  <c r="G34"/>
  <c r="K33"/>
  <c r="I33"/>
  <c r="H33"/>
  <c r="F33"/>
  <c r="K32"/>
  <c r="J32"/>
  <c r="F32"/>
  <c r="F31"/>
  <c r="G30"/>
  <c r="O29"/>
  <c r="N29"/>
  <c r="M29"/>
  <c r="L29"/>
  <c r="K29"/>
  <c r="J29"/>
  <c r="I29"/>
  <c r="H29"/>
  <c r="F29"/>
  <c r="O28"/>
  <c r="N28"/>
  <c r="M28"/>
  <c r="L28"/>
  <c r="K28"/>
  <c r="J28"/>
  <c r="I28"/>
  <c r="H28"/>
  <c r="F28"/>
  <c r="G27"/>
  <c r="G26"/>
  <c r="J24"/>
  <c r="I24"/>
  <c r="F22"/>
  <c r="F18" s="1"/>
  <c r="L20"/>
  <c r="O20"/>
  <c r="N20"/>
  <c r="M20"/>
  <c r="K20"/>
  <c r="J20"/>
  <c r="G15"/>
  <c r="G29" s="1"/>
  <c r="K25"/>
  <c r="O12"/>
  <c r="O21" s="1"/>
  <c r="N12"/>
  <c r="M12"/>
  <c r="M21" s="1"/>
  <c r="L12"/>
  <c r="L21" s="1"/>
  <c r="K12"/>
  <c r="J12"/>
  <c r="J21" s="1"/>
  <c r="I12"/>
  <c r="I21" s="1"/>
  <c r="G9"/>
  <c r="G28" s="1"/>
  <c r="F8"/>
  <c r="F14" s="1"/>
  <c r="F19" i="7" s="1"/>
  <c r="H12" i="3"/>
  <c r="H13" s="1"/>
  <c r="F7"/>
  <c r="F12" s="1"/>
  <c r="G35" l="1"/>
  <c r="G37"/>
  <c r="H19"/>
  <c r="J37"/>
  <c r="H36"/>
  <c r="G11"/>
  <c r="G10"/>
  <c r="H32"/>
  <c r="G31"/>
  <c r="J19"/>
  <c r="AN14" i="5"/>
  <c r="G7" i="3"/>
  <c r="G23"/>
  <c r="K21"/>
  <c r="F25"/>
  <c r="G18"/>
  <c r="O30" s="1"/>
  <c r="H20"/>
  <c r="G33"/>
  <c r="I19"/>
  <c r="K19"/>
  <c r="F20"/>
  <c r="N21"/>
  <c r="F21"/>
  <c r="L13"/>
  <c r="H21"/>
  <c r="F24"/>
  <c r="G8"/>
  <c r="K13"/>
  <c r="O13"/>
  <c r="I20"/>
  <c r="N13"/>
  <c r="F23"/>
  <c r="F19" s="1"/>
  <c r="F13"/>
  <c r="J13"/>
  <c r="G12"/>
  <c r="I13"/>
  <c r="M13"/>
  <c r="L30" l="1"/>
  <c r="N30"/>
  <c r="O22"/>
  <c r="O23" s="1"/>
  <c r="N22"/>
  <c r="N23" s="1"/>
  <c r="M22"/>
  <c r="M23" s="1"/>
  <c r="L22"/>
  <c r="L23" s="1"/>
  <c r="M30"/>
  <c r="M31" s="1"/>
  <c r="G36"/>
  <c r="M11"/>
  <c r="N11"/>
  <c r="O11"/>
  <c r="L11"/>
  <c r="L34"/>
  <c r="L31"/>
  <c r="G32"/>
  <c r="L10"/>
  <c r="L32" s="1"/>
  <c r="M10"/>
  <c r="N10"/>
  <c r="N32" s="1"/>
  <c r="O10"/>
  <c r="O32" s="1"/>
  <c r="O31"/>
  <c r="M34"/>
  <c r="G24"/>
  <c r="O8"/>
  <c r="O24" s="1"/>
  <c r="M8"/>
  <c r="M24" s="1"/>
  <c r="N8"/>
  <c r="L8"/>
  <c r="L24" s="1"/>
  <c r="N31"/>
  <c r="G20"/>
  <c r="G19"/>
  <c r="G13"/>
  <c r="O17" s="1"/>
  <c r="G21"/>
  <c r="G14"/>
  <c r="H25"/>
  <c r="M32" l="1"/>
  <c r="O34"/>
  <c r="O16"/>
  <c r="O33" s="1"/>
  <c r="L17"/>
  <c r="L37" s="1"/>
  <c r="N34"/>
  <c r="M16"/>
  <c r="M33" s="1"/>
  <c r="N16"/>
  <c r="N33" s="1"/>
  <c r="N17"/>
  <c r="M17"/>
  <c r="N24"/>
  <c r="L16"/>
  <c r="L33" s="1"/>
  <c r="G25"/>
  <c r="O14"/>
  <c r="O25" s="1"/>
  <c r="N14"/>
  <c r="N25" s="1"/>
  <c r="M14"/>
  <c r="M25" s="1"/>
  <c r="L14"/>
  <c r="L25" s="1"/>
  <c r="M37"/>
  <c r="M35"/>
  <c r="M19" s="1"/>
  <c r="L36"/>
  <c r="M36"/>
  <c r="L35"/>
  <c r="L19" s="1"/>
  <c r="N36"/>
  <c r="N37"/>
  <c r="N35"/>
  <c r="N19" s="1"/>
  <c r="O35"/>
  <c r="O19" s="1"/>
  <c r="O37"/>
  <c r="O36"/>
  <c r="BI12" i="4"/>
  <c r="BH12"/>
  <c r="BG12"/>
  <c r="BF12"/>
  <c r="BE12"/>
  <c r="AV40"/>
  <c r="AV38"/>
  <c r="AS40"/>
  <c r="CI12"/>
  <c r="CH12"/>
  <c r="CG12"/>
  <c r="CF12"/>
  <c r="CE12"/>
  <c r="CD12"/>
  <c r="CC12"/>
  <c r="CB12"/>
  <c r="CB13" l="1"/>
  <c r="L16" i="5"/>
  <c r="CH13" i="4"/>
  <c r="AD16" i="5"/>
  <c r="CD13" i="4"/>
  <c r="R16" i="5"/>
  <c r="CF13" i="4"/>
  <c r="X16" i="5"/>
  <c r="CC13" i="4"/>
  <c r="O16" i="5"/>
  <c r="CE13" i="4"/>
  <c r="U16" i="5"/>
  <c r="CG13" i="4"/>
  <c r="AA16" i="5"/>
  <c r="CI13" i="4"/>
  <c r="AG16" i="5"/>
  <c r="AP13" i="4"/>
  <c r="AV13"/>
  <c r="AS13"/>
  <c r="AY13"/>
  <c r="L11"/>
  <c r="K11"/>
  <c r="J11"/>
  <c r="AM11" l="1"/>
  <c r="AL11"/>
  <c r="N11"/>
  <c r="P11"/>
  <c r="M11"/>
  <c r="O11"/>
  <c r="P10"/>
  <c r="O10"/>
  <c r="N10"/>
  <c r="M10"/>
  <c r="K10"/>
  <c r="J10"/>
  <c r="E57" i="3"/>
  <c r="L67" l="1"/>
  <c r="F66"/>
  <c r="F67" s="1"/>
  <c r="J66"/>
  <c r="J67" s="1"/>
  <c r="I66"/>
  <c r="I67" s="1"/>
  <c r="K66"/>
  <c r="K67" s="1"/>
  <c r="H66"/>
  <c r="H67" s="1"/>
  <c r="I54"/>
  <c r="H54"/>
  <c r="J48"/>
  <c r="J50" s="1"/>
  <c r="I48"/>
  <c r="I50" s="1"/>
  <c r="BD38" i="4"/>
  <c r="AU38"/>
  <c r="X38"/>
  <c r="H38"/>
  <c r="G38" s="1"/>
  <c r="AU40"/>
  <c r="BI44"/>
  <c r="AW44"/>
  <c r="AY44" s="1"/>
  <c r="P44"/>
  <c r="BH44"/>
  <c r="AT44"/>
  <c r="AV44" s="1"/>
  <c r="O44"/>
  <c r="BG44" l="1"/>
  <c r="AQ44"/>
  <c r="AS44" s="1"/>
  <c r="N44"/>
  <c r="E49" i="3" l="1"/>
  <c r="BI73" i="4"/>
  <c r="BH73"/>
  <c r="BG73"/>
  <c r="BF73"/>
  <c r="BE40"/>
  <c r="BH43"/>
  <c r="BG43"/>
  <c r="BF43"/>
  <c r="BE43"/>
  <c r="BI42"/>
  <c r="BH42"/>
  <c r="BI41"/>
  <c r="BH41"/>
  <c r="BG41"/>
  <c r="BF41"/>
  <c r="BI39"/>
  <c r="BH39"/>
  <c r="BG39"/>
  <c r="BF39"/>
  <c r="BH40"/>
  <c r="BG40"/>
  <c r="BI40"/>
  <c r="BI37"/>
  <c r="BH37"/>
  <c r="BG37"/>
  <c r="BF37"/>
  <c r="BI47"/>
  <c r="BH47"/>
  <c r="BG47"/>
  <c r="BF47"/>
  <c r="BI11"/>
  <c r="BH11"/>
  <c r="BG11"/>
  <c r="P12"/>
  <c r="O12"/>
  <c r="N12"/>
  <c r="M12"/>
  <c r="BI18"/>
  <c r="BH18"/>
  <c r="BG18"/>
  <c r="BF18"/>
  <c r="BE18"/>
  <c r="BI17"/>
  <c r="BH17"/>
  <c r="BG17"/>
  <c r="BF17"/>
  <c r="BE17"/>
  <c r="P20"/>
  <c r="O20"/>
  <c r="N20"/>
  <c r="M20"/>
  <c r="AY19"/>
  <c r="AV19"/>
  <c r="AS19"/>
  <c r="AP19"/>
  <c r="N17"/>
  <c r="P17"/>
  <c r="O17"/>
  <c r="M17"/>
  <c r="AS20" l="1"/>
  <c r="AY20"/>
  <c r="AP20"/>
  <c r="AV20"/>
  <c r="AR19"/>
  <c r="AO19"/>
  <c r="AO20"/>
  <c r="AU20"/>
  <c r="BD20"/>
  <c r="BD19"/>
  <c r="AX19"/>
  <c r="AU19"/>
  <c r="AX20"/>
  <c r="AR20"/>
  <c r="O38" i="3"/>
  <c r="N38"/>
  <c r="M38"/>
  <c r="L38"/>
  <c r="K38"/>
  <c r="J38"/>
  <c r="I38"/>
  <c r="H38"/>
  <c r="F38"/>
  <c r="E38"/>
  <c r="F26" i="7" l="1"/>
  <c r="F45" s="1"/>
  <c r="L17" i="4"/>
  <c r="K17"/>
  <c r="J17"/>
  <c r="I17"/>
  <c r="L20"/>
  <c r="K20"/>
  <c r="J20"/>
  <c r="I20"/>
  <c r="K12" l="1"/>
  <c r="I12"/>
  <c r="J12"/>
  <c r="L12"/>
  <c r="BF11"/>
  <c r="BE11"/>
  <c r="H10"/>
  <c r="BE10"/>
  <c r="BI10" l="1"/>
  <c r="BH10"/>
  <c r="BG10"/>
  <c r="BF10"/>
  <c r="G10" l="1"/>
  <c r="K96" i="3"/>
  <c r="J96"/>
  <c r="I96"/>
  <c r="H96"/>
  <c r="K94"/>
  <c r="J94"/>
  <c r="I94"/>
  <c r="H94"/>
  <c r="K92"/>
  <c r="J92"/>
  <c r="I92"/>
  <c r="H92"/>
  <c r="K90"/>
  <c r="J90"/>
  <c r="I90"/>
  <c r="H90"/>
  <c r="K83"/>
  <c r="J83"/>
  <c r="I83"/>
  <c r="H83"/>
  <c r="K81"/>
  <c r="J81"/>
  <c r="I81"/>
  <c r="H81"/>
  <c r="K79"/>
  <c r="J79"/>
  <c r="I79"/>
  <c r="H79"/>
  <c r="K77"/>
  <c r="J77"/>
  <c r="I77"/>
  <c r="H77"/>
  <c r="F96"/>
  <c r="F94"/>
  <c r="F92"/>
  <c r="F90"/>
  <c r="F83"/>
  <c r="F79"/>
  <c r="F81"/>
  <c r="F77"/>
  <c r="F73" l="1"/>
  <c r="E96"/>
  <c r="E92"/>
  <c r="E90"/>
  <c r="E94"/>
  <c r="E81"/>
  <c r="E82" s="1"/>
  <c r="E77"/>
  <c r="E78" s="1"/>
  <c r="E79"/>
  <c r="E95"/>
  <c r="E83"/>
  <c r="E91"/>
  <c r="F82"/>
  <c r="D57" i="2"/>
  <c r="F88" i="3"/>
  <c r="F86"/>
  <c r="AX17" i="4"/>
  <c r="AV17"/>
  <c r="AR17"/>
  <c r="AO17"/>
  <c r="AY18"/>
  <c r="AU18"/>
  <c r="AS18"/>
  <c r="AO18"/>
  <c r="AM18"/>
  <c r="AI18"/>
  <c r="AS17"/>
  <c r="BD13"/>
  <c r="Y25"/>
  <c r="BJ30"/>
  <c r="BI30"/>
  <c r="BH30"/>
  <c r="BG30"/>
  <c r="BF30"/>
  <c r="BE30"/>
  <c r="AW30"/>
  <c r="AY30" s="1"/>
  <c r="AT30"/>
  <c r="AV30" s="1"/>
  <c r="AQ30"/>
  <c r="AR30" s="1"/>
  <c r="AN30"/>
  <c r="AO30" s="1"/>
  <c r="AK30"/>
  <c r="H30"/>
  <c r="G30" s="1"/>
  <c r="E88" i="3" l="1"/>
  <c r="E86"/>
  <c r="E87" s="1"/>
  <c r="E75"/>
  <c r="AM30" i="4"/>
  <c r="AA30" s="1"/>
  <c r="AI17"/>
  <c r="AJ17"/>
  <c r="AL17"/>
  <c r="AM17"/>
  <c r="BD30"/>
  <c r="AY17"/>
  <c r="AU17"/>
  <c r="AP30"/>
  <c r="Y30"/>
  <c r="E73" i="3"/>
  <c r="E70" s="1"/>
  <c r="AL30" i="4"/>
  <c r="Z30" s="1"/>
  <c r="AU30"/>
  <c r="AX30"/>
  <c r="AP18"/>
  <c r="AR18"/>
  <c r="AX18"/>
  <c r="F70" i="3"/>
  <c r="E74"/>
  <c r="AL18" i="4"/>
  <c r="AP17"/>
  <c r="AJ18"/>
  <c r="AV18"/>
  <c r="AS30"/>
  <c r="X30" l="1"/>
  <c r="Y33"/>
  <c r="AX25"/>
  <c r="AY25"/>
  <c r="AU25"/>
  <c r="AV25"/>
  <c r="AR25"/>
  <c r="AS25"/>
  <c r="AO25"/>
  <c r="AP25"/>
  <c r="AM25"/>
  <c r="AA25" s="1"/>
  <c r="AL25"/>
  <c r="Z25" s="1"/>
  <c r="BE15"/>
  <c r="AY10"/>
  <c r="AU10"/>
  <c r="AS10"/>
  <c r="AO10"/>
  <c r="AK10"/>
  <c r="AM10" s="1"/>
  <c r="AI10"/>
  <c r="AG10"/>
  <c r="AB10"/>
  <c r="AD10" s="1"/>
  <c r="AH47"/>
  <c r="AE47"/>
  <c r="AH41"/>
  <c r="AE41"/>
  <c r="AG41" s="1"/>
  <c r="BE41"/>
  <c r="BE73"/>
  <c r="AH73"/>
  <c r="AK37"/>
  <c r="AM37" s="1"/>
  <c r="AH37"/>
  <c r="BE37"/>
  <c r="BD37" s="1"/>
  <c r="AB41"/>
  <c r="AD41" s="1"/>
  <c r="BD41"/>
  <c r="H41"/>
  <c r="G41" s="1"/>
  <c r="AI47"/>
  <c r="AF47"/>
  <c r="AJ47"/>
  <c r="AG47"/>
  <c r="BE47"/>
  <c r="AH44"/>
  <c r="AJ44" s="1"/>
  <c r="AE44"/>
  <c r="AN44"/>
  <c r="AP44" s="1"/>
  <c r="BF44"/>
  <c r="BE44"/>
  <c r="BE42"/>
  <c r="AH42"/>
  <c r="AJ42" s="1"/>
  <c r="AI39"/>
  <c r="AJ39"/>
  <c r="AI40"/>
  <c r="AJ40"/>
  <c r="AJ43"/>
  <c r="AI43"/>
  <c r="AI44"/>
  <c r="AG37"/>
  <c r="AF37"/>
  <c r="H37"/>
  <c r="G37" s="1"/>
  <c r="AJ73" l="1"/>
  <c r="Y73"/>
  <c r="X73" s="1"/>
  <c r="X76" s="1"/>
  <c r="AI73"/>
  <c r="AF41"/>
  <c r="AI37"/>
  <c r="AJ37"/>
  <c r="AA37" s="1"/>
  <c r="AF44"/>
  <c r="AG44"/>
  <c r="AI41"/>
  <c r="AJ41"/>
  <c r="AA41" s="1"/>
  <c r="AL37"/>
  <c r="AC10"/>
  <c r="AL10"/>
  <c r="AF10"/>
  <c r="Z10" s="1"/>
  <c r="AR10"/>
  <c r="AX10"/>
  <c r="AP10"/>
  <c r="Y10"/>
  <c r="AJ10"/>
  <c r="AA10" s="1"/>
  <c r="AV10"/>
  <c r="Z37"/>
  <c r="Y37"/>
  <c r="X37" s="1"/>
  <c r="AC41"/>
  <c r="Z41" s="1"/>
  <c r="Y41"/>
  <c r="X41" s="1"/>
  <c r="AO44"/>
  <c r="F41" i="7"/>
  <c r="E41"/>
  <c r="D41"/>
  <c r="AR13" i="4"/>
  <c r="AO13"/>
  <c r="AX13" l="1"/>
  <c r="AU13"/>
  <c r="L13"/>
  <c r="K13"/>
  <c r="J13"/>
  <c r="I13"/>
  <c r="H35" i="1"/>
  <c r="H34"/>
  <c r="H33"/>
  <c r="H32"/>
  <c r="H31"/>
  <c r="H30"/>
  <c r="H13" i="4" l="1"/>
  <c r="G13" s="1"/>
  <c r="BI43"/>
  <c r="BD43" s="1"/>
  <c r="AW43"/>
  <c r="H43"/>
  <c r="G43" s="1"/>
  <c r="Z43"/>
  <c r="AA43"/>
  <c r="Y43"/>
  <c r="X43" s="1"/>
  <c r="BE39"/>
  <c r="AE39"/>
  <c r="Y42"/>
  <c r="H39"/>
  <c r="G39" s="1"/>
  <c r="AX44"/>
  <c r="AU44"/>
  <c r="Y44"/>
  <c r="Y40"/>
  <c r="Z40"/>
  <c r="AA40"/>
  <c r="Z44"/>
  <c r="AA44"/>
  <c r="AR44"/>
  <c r="BG42"/>
  <c r="BF42"/>
  <c r="AQ42"/>
  <c r="AA42"/>
  <c r="AI42"/>
  <c r="AN42"/>
  <c r="Z42"/>
  <c r="BF40"/>
  <c r="AR40"/>
  <c r="AN40"/>
  <c r="AP40" s="1"/>
  <c r="AR42" l="1"/>
  <c r="AS42"/>
  <c r="AG39"/>
  <c r="AA39" s="1"/>
  <c r="AX43"/>
  <c r="AY43"/>
  <c r="AO42"/>
  <c r="AP42"/>
  <c r="AF39"/>
  <c r="Z39" s="1"/>
  <c r="AO40"/>
  <c r="BD39"/>
  <c r="BE45"/>
  <c r="Y39"/>
  <c r="X39" s="1"/>
  <c r="G16" i="5" l="1"/>
  <c r="AF16"/>
  <c r="AC16"/>
  <c r="Z16"/>
  <c r="W16"/>
  <c r="T16"/>
  <c r="Q16"/>
  <c r="K16"/>
  <c r="N16"/>
  <c r="H16" l="1"/>
  <c r="K48" i="3" l="1"/>
  <c r="K50" s="1"/>
  <c r="H48"/>
  <c r="H50" s="1"/>
  <c r="D29" i="2"/>
  <c r="M67" i="3"/>
  <c r="N67"/>
  <c r="O67"/>
  <c r="O58"/>
  <c r="M58"/>
  <c r="L58"/>
  <c r="N58"/>
  <c r="F58"/>
  <c r="K58"/>
  <c r="J58"/>
  <c r="K56"/>
  <c r="K57" s="1"/>
  <c r="J56"/>
  <c r="J57" s="1"/>
  <c r="F56"/>
  <c r="F57" s="1"/>
  <c r="I56"/>
  <c r="I57" s="1"/>
  <c r="I58"/>
  <c r="H58"/>
  <c r="H56"/>
  <c r="H57" s="1"/>
  <c r="F54"/>
  <c r="F52"/>
  <c r="K52"/>
  <c r="K54" s="1"/>
  <c r="J52"/>
  <c r="J54" s="1"/>
  <c r="M54"/>
  <c r="N54"/>
  <c r="O54"/>
  <c r="L54"/>
  <c r="G57" l="1"/>
  <c r="I16" i="5"/>
  <c r="F50" i="3"/>
  <c r="F48"/>
  <c r="L50"/>
  <c r="M50"/>
  <c r="N50"/>
  <c r="O50"/>
  <c r="O48"/>
  <c r="N48"/>
  <c r="M48"/>
  <c r="G38" l="1"/>
  <c r="U38" l="1"/>
  <c r="AE8" i="5"/>
  <c r="AB8"/>
  <c r="Y8"/>
  <c r="AA8" s="1"/>
  <c r="V8"/>
  <c r="S21"/>
  <c r="AF11" i="4"/>
  <c r="AD19"/>
  <c r="AF18"/>
  <c r="AF17"/>
  <c r="AM20"/>
  <c r="AG20"/>
  <c r="AJ19"/>
  <c r="AG19"/>
  <c r="BD12"/>
  <c r="AJ11"/>
  <c r="AF12"/>
  <c r="AG11"/>
  <c r="AA11" s="1"/>
  <c r="AD12"/>
  <c r="V21" i="5" l="1"/>
  <c r="X8"/>
  <c r="AB21"/>
  <c r="AD8"/>
  <c r="AE21"/>
  <c r="AG8"/>
  <c r="AL19" i="4"/>
  <c r="AM19"/>
  <c r="AI20"/>
  <c r="AJ20"/>
  <c r="Z8" i="5"/>
  <c r="Y21"/>
  <c r="AD18" i="4"/>
  <c r="Y18"/>
  <c r="I8" i="5"/>
  <c r="T8"/>
  <c r="H8" s="1"/>
  <c r="AC17" i="4"/>
  <c r="Z17" s="1"/>
  <c r="AD17"/>
  <c r="AL20"/>
  <c r="AI19"/>
  <c r="AF20"/>
  <c r="AF19"/>
  <c r="AI11"/>
  <c r="H19"/>
  <c r="G19" s="1"/>
  <c r="H20"/>
  <c r="G20" s="1"/>
  <c r="Y20"/>
  <c r="X20" s="1"/>
  <c r="AF8" i="5"/>
  <c r="AC8"/>
  <c r="W8"/>
  <c r="Y19" i="4"/>
  <c r="X19" s="1"/>
  <c r="AC19"/>
  <c r="AC18"/>
  <c r="Z18" s="1"/>
  <c r="AG18"/>
  <c r="AG12"/>
  <c r="AA19"/>
  <c r="Y17"/>
  <c r="AG17"/>
  <c r="AA18" l="1"/>
  <c r="AA17"/>
  <c r="Z19"/>
  <c r="AC20"/>
  <c r="Z20" s="1"/>
  <c r="AD20"/>
  <c r="AA20" s="1"/>
  <c r="Y11"/>
  <c r="Z45"/>
  <c r="AA45"/>
  <c r="AB45"/>
  <c r="AC45"/>
  <c r="AD45"/>
  <c r="Y45"/>
  <c r="BD44"/>
  <c r="BD42"/>
  <c r="BD40"/>
  <c r="X40"/>
  <c r="H40"/>
  <c r="G40" s="1"/>
  <c r="BJ40"/>
  <c r="H42"/>
  <c r="G42" s="1"/>
  <c r="X42"/>
  <c r="BJ42"/>
  <c r="H44"/>
  <c r="G44" s="1"/>
  <c r="X44"/>
  <c r="BJ44"/>
  <c r="AM13"/>
  <c r="AL13"/>
  <c r="AJ13"/>
  <c r="AI13"/>
  <c r="AG13"/>
  <c r="AF13"/>
  <c r="AD13"/>
  <c r="AC13"/>
  <c r="Y13"/>
  <c r="AX12"/>
  <c r="AT12"/>
  <c r="AU12" s="1"/>
  <c r="AR12"/>
  <c r="AP12"/>
  <c r="AJ12"/>
  <c r="AY11"/>
  <c r="AV11"/>
  <c r="AS11"/>
  <c r="AO11"/>
  <c r="BD11"/>
  <c r="H12"/>
  <c r="G12" s="1"/>
  <c r="X13" l="1"/>
  <c r="AL12"/>
  <c r="AM12"/>
  <c r="AR11"/>
  <c r="AA13"/>
  <c r="X45"/>
  <c r="AC12"/>
  <c r="AS12"/>
  <c r="Z13"/>
  <c r="AX11"/>
  <c r="Z11"/>
  <c r="AO12"/>
  <c r="X11"/>
  <c r="AU11"/>
  <c r="AI12"/>
  <c r="AV12"/>
  <c r="Y12"/>
  <c r="X12" s="1"/>
  <c r="AP11"/>
  <c r="AY12"/>
  <c r="Y15" l="1"/>
  <c r="Y22"/>
  <c r="Y133" s="1"/>
  <c r="Z12"/>
  <c r="AA12"/>
  <c r="Y130" l="1"/>
  <c r="D19" i="7" l="1"/>
  <c r="F21"/>
  <c r="D18"/>
  <c r="D17"/>
  <c r="E33" i="3" l="1"/>
  <c r="E32"/>
  <c r="E24"/>
  <c r="E25"/>
  <c r="F39"/>
  <c r="E35" l="1"/>
  <c r="E31"/>
  <c r="E23"/>
  <c r="E37" l="1"/>
  <c r="E36"/>
  <c r="E19"/>
  <c r="E18"/>
  <c r="E39" l="1"/>
  <c r="E20"/>
  <c r="E12"/>
  <c r="E21" s="1"/>
  <c r="D45" i="2"/>
  <c r="D43"/>
  <c r="D39"/>
  <c r="D37"/>
  <c r="D35"/>
  <c r="D33"/>
  <c r="D31"/>
  <c r="E13"/>
  <c r="D13" s="1"/>
  <c r="D18"/>
  <c r="D17"/>
  <c r="E14"/>
  <c r="D26"/>
  <c r="D24"/>
  <c r="E23"/>
  <c r="D22"/>
  <c r="D20"/>
  <c r="E19"/>
  <c r="D12"/>
  <c r="D11"/>
  <c r="D9"/>
  <c r="E8"/>
  <c r="G9" i="5"/>
  <c r="F9" s="1"/>
  <c r="D41" i="2" l="1"/>
  <c r="E53" i="3"/>
  <c r="G37" i="1" l="1"/>
  <c r="G8" i="5" l="1"/>
  <c r="H45" i="3"/>
  <c r="I45"/>
  <c r="J45"/>
  <c r="K45"/>
  <c r="P45"/>
  <c r="Q45"/>
  <c r="R45"/>
  <c r="S45"/>
  <c r="T45"/>
  <c r="F45"/>
  <c r="H43"/>
  <c r="I43"/>
  <c r="J43"/>
  <c r="K43"/>
  <c r="L43"/>
  <c r="M43"/>
  <c r="N43"/>
  <c r="O43"/>
  <c r="P43"/>
  <c r="Q43"/>
  <c r="R43"/>
  <c r="S43"/>
  <c r="T43"/>
  <c r="F43"/>
  <c r="H41"/>
  <c r="I41"/>
  <c r="J41"/>
  <c r="K41"/>
  <c r="P41"/>
  <c r="Q41"/>
  <c r="R41"/>
  <c r="S41"/>
  <c r="T41"/>
  <c r="F41"/>
  <c r="H39"/>
  <c r="I39"/>
  <c r="J39"/>
  <c r="K39"/>
  <c r="L39"/>
  <c r="M39"/>
  <c r="N39"/>
  <c r="O39"/>
  <c r="P39"/>
  <c r="Q39"/>
  <c r="R39"/>
  <c r="S39"/>
  <c r="T39"/>
  <c r="P36"/>
  <c r="Q36"/>
  <c r="R36"/>
  <c r="S36"/>
  <c r="T36"/>
  <c r="P37"/>
  <c r="Q37"/>
  <c r="R37"/>
  <c r="S37"/>
  <c r="T37"/>
  <c r="P32"/>
  <c r="Q32"/>
  <c r="R32"/>
  <c r="S32"/>
  <c r="T32"/>
  <c r="P33"/>
  <c r="Q33"/>
  <c r="R33"/>
  <c r="S33"/>
  <c r="T33"/>
  <c r="P28"/>
  <c r="Q28"/>
  <c r="R28"/>
  <c r="S28"/>
  <c r="T28"/>
  <c r="P29"/>
  <c r="Q29"/>
  <c r="R29"/>
  <c r="S29"/>
  <c r="T29"/>
  <c r="P24"/>
  <c r="Q24"/>
  <c r="R24"/>
  <c r="S24"/>
  <c r="T24"/>
  <c r="P25"/>
  <c r="Q25"/>
  <c r="R25"/>
  <c r="S25"/>
  <c r="T25"/>
  <c r="P21"/>
  <c r="Q21"/>
  <c r="R21"/>
  <c r="S21"/>
  <c r="T21"/>
  <c r="P20"/>
  <c r="Q20"/>
  <c r="R20"/>
  <c r="S20"/>
  <c r="T20"/>
  <c r="E70" i="2" l="1"/>
  <c r="E68"/>
  <c r="E62"/>
  <c r="E64"/>
  <c r="E66"/>
  <c r="E60"/>
  <c r="F7" i="7"/>
  <c r="D12"/>
  <c r="D23" s="1"/>
  <c r="U12" i="3"/>
  <c r="Z12" s="1"/>
  <c r="V9"/>
  <c r="AA9" s="1"/>
  <c r="W9"/>
  <c r="AB9" s="1"/>
  <c r="X9"/>
  <c r="AC9" s="1"/>
  <c r="Y9"/>
  <c r="AD9" s="1"/>
  <c r="V12"/>
  <c r="AA12" s="1"/>
  <c r="W12"/>
  <c r="AB12" s="1"/>
  <c r="X12"/>
  <c r="AC12" s="1"/>
  <c r="Y12"/>
  <c r="AD12" s="1"/>
  <c r="V13"/>
  <c r="AA13" s="1"/>
  <c r="W13"/>
  <c r="AB13" s="1"/>
  <c r="X13"/>
  <c r="AC13" s="1"/>
  <c r="Y13"/>
  <c r="AD13" s="1"/>
  <c r="V15"/>
  <c r="AA15" s="1"/>
  <c r="W15"/>
  <c r="AB15" s="1"/>
  <c r="X15"/>
  <c r="AC15" s="1"/>
  <c r="Y15"/>
  <c r="AD15" s="1"/>
  <c r="V18"/>
  <c r="AA18" s="1"/>
  <c r="W18"/>
  <c r="AB18" s="1"/>
  <c r="X18"/>
  <c r="AC18" s="1"/>
  <c r="Y18"/>
  <c r="AD18" s="1"/>
  <c r="V26"/>
  <c r="AA26" s="1"/>
  <c r="W26"/>
  <c r="AB26" s="1"/>
  <c r="X26"/>
  <c r="AC26" s="1"/>
  <c r="Y26"/>
  <c r="AD26" s="1"/>
  <c r="V27"/>
  <c r="AA27" s="1"/>
  <c r="W27"/>
  <c r="AB27" s="1"/>
  <c r="X27"/>
  <c r="AC27" s="1"/>
  <c r="Y27"/>
  <c r="AD27" s="1"/>
  <c r="V28"/>
  <c r="AA28" s="1"/>
  <c r="W28"/>
  <c r="AB28" s="1"/>
  <c r="X28"/>
  <c r="AC28" s="1"/>
  <c r="Y28"/>
  <c r="AD28" s="1"/>
  <c r="V38"/>
  <c r="AA38" s="1"/>
  <c r="W38"/>
  <c r="AB38" s="1"/>
  <c r="X38"/>
  <c r="AC38" s="1"/>
  <c r="Y38"/>
  <c r="AD38" s="1"/>
  <c r="V40"/>
  <c r="AA40" s="1"/>
  <c r="W40"/>
  <c r="AB40" s="1"/>
  <c r="X40"/>
  <c r="AC40" s="1"/>
  <c r="Y40"/>
  <c r="AD40" s="1"/>
  <c r="V42"/>
  <c r="AA42" s="1"/>
  <c r="W42"/>
  <c r="AB42" s="1"/>
  <c r="X42"/>
  <c r="AC42" s="1"/>
  <c r="Y42"/>
  <c r="AD42" s="1"/>
  <c r="V43"/>
  <c r="AA43" s="1"/>
  <c r="W43"/>
  <c r="AB43" s="1"/>
  <c r="X43"/>
  <c r="AC43" s="1"/>
  <c r="Y43"/>
  <c r="AD43" s="1"/>
  <c r="V44"/>
  <c r="AA44" s="1"/>
  <c r="W44"/>
  <c r="AB44" s="1"/>
  <c r="X44"/>
  <c r="AC44" s="1"/>
  <c r="Y44"/>
  <c r="AD44" s="1"/>
  <c r="V48"/>
  <c r="AA48" s="1"/>
  <c r="W48"/>
  <c r="AB48" s="1"/>
  <c r="X48"/>
  <c r="AC48" s="1"/>
  <c r="Y48"/>
  <c r="AD48" s="1"/>
  <c r="V50"/>
  <c r="AA50" s="1"/>
  <c r="W50"/>
  <c r="AB50" s="1"/>
  <c r="X50"/>
  <c r="AC50" s="1"/>
  <c r="Y50"/>
  <c r="AD50" s="1"/>
  <c r="V51"/>
  <c r="AA51" s="1"/>
  <c r="W51"/>
  <c r="AB51" s="1"/>
  <c r="X51"/>
  <c r="AC51" s="1"/>
  <c r="Y51"/>
  <c r="AD51" s="1"/>
  <c r="V52"/>
  <c r="AA52" s="1"/>
  <c r="W52"/>
  <c r="AB52" s="1"/>
  <c r="X52"/>
  <c r="AC52" s="1"/>
  <c r="Y52"/>
  <c r="AD52" s="1"/>
  <c r="V54"/>
  <c r="AA54" s="1"/>
  <c r="W54"/>
  <c r="AB54" s="1"/>
  <c r="X54"/>
  <c r="AC54" s="1"/>
  <c r="Y54"/>
  <c r="AD54" s="1"/>
  <c r="V55"/>
  <c r="AA55" s="1"/>
  <c r="W55"/>
  <c r="AB55" s="1"/>
  <c r="X55"/>
  <c r="AC55" s="1"/>
  <c r="Y55"/>
  <c r="AD55" s="1"/>
  <c r="V58"/>
  <c r="AA58" s="1"/>
  <c r="W58"/>
  <c r="AB58" s="1"/>
  <c r="X58"/>
  <c r="AC58" s="1"/>
  <c r="Y58"/>
  <c r="AD58" s="1"/>
  <c r="V59"/>
  <c r="AA59" s="1"/>
  <c r="W59"/>
  <c r="AB59" s="1"/>
  <c r="X59"/>
  <c r="AC59" s="1"/>
  <c r="Y59"/>
  <c r="AD59" s="1"/>
  <c r="V60"/>
  <c r="AA60" s="1"/>
  <c r="W60"/>
  <c r="AB60" s="1"/>
  <c r="X60"/>
  <c r="AC60" s="1"/>
  <c r="Y60"/>
  <c r="AD60" s="1"/>
  <c r="V61"/>
  <c r="AA61" s="1"/>
  <c r="W61"/>
  <c r="AB61" s="1"/>
  <c r="X61"/>
  <c r="AC61" s="1"/>
  <c r="Y61"/>
  <c r="AD61" s="1"/>
  <c r="V63"/>
  <c r="AA63" s="1"/>
  <c r="W63"/>
  <c r="AB63" s="1"/>
  <c r="X63"/>
  <c r="AC63" s="1"/>
  <c r="Y63"/>
  <c r="AD63" s="1"/>
  <c r="V64"/>
  <c r="AA64" s="1"/>
  <c r="W64"/>
  <c r="AB64" s="1"/>
  <c r="X64"/>
  <c r="AC64" s="1"/>
  <c r="Y64"/>
  <c r="AD64" s="1"/>
  <c r="V65"/>
  <c r="W65"/>
  <c r="AB65" s="1"/>
  <c r="X65"/>
  <c r="AC65" s="1"/>
  <c r="Y65"/>
  <c r="AD65" s="1"/>
  <c r="AA65"/>
  <c r="V66"/>
  <c r="AA66" s="1"/>
  <c r="W66"/>
  <c r="AB66" s="1"/>
  <c r="X66"/>
  <c r="AC66" s="1"/>
  <c r="Y66"/>
  <c r="AD66" s="1"/>
  <c r="V67"/>
  <c r="AA67" s="1"/>
  <c r="W67"/>
  <c r="AB67" s="1"/>
  <c r="X67"/>
  <c r="AC67" s="1"/>
  <c r="Y67"/>
  <c r="AD67" s="1"/>
  <c r="V68"/>
  <c r="AA68" s="1"/>
  <c r="W68"/>
  <c r="AB68" s="1"/>
  <c r="X68"/>
  <c r="AC68" s="1"/>
  <c r="Y68"/>
  <c r="AD68" s="1"/>
  <c r="V69"/>
  <c r="W69"/>
  <c r="AB69" s="1"/>
  <c r="X69"/>
  <c r="AC69" s="1"/>
  <c r="Y69"/>
  <c r="AD69" s="1"/>
  <c r="AA69"/>
  <c r="V76"/>
  <c r="AA76" s="1"/>
  <c r="W76"/>
  <c r="AB76" s="1"/>
  <c r="X76"/>
  <c r="AC76" s="1"/>
  <c r="Y76"/>
  <c r="AD76" s="1"/>
  <c r="V80"/>
  <c r="AA80" s="1"/>
  <c r="W80"/>
  <c r="AB80" s="1"/>
  <c r="X80"/>
  <c r="AC80" s="1"/>
  <c r="Y80"/>
  <c r="AD80" s="1"/>
  <c r="V84"/>
  <c r="AA84" s="1"/>
  <c r="W84"/>
  <c r="AB84" s="1"/>
  <c r="X84"/>
  <c r="Y84"/>
  <c r="AD84" s="1"/>
  <c r="AC84"/>
  <c r="V85"/>
  <c r="W85"/>
  <c r="AB85" s="1"/>
  <c r="X85"/>
  <c r="AC85" s="1"/>
  <c r="Y85"/>
  <c r="AD85" s="1"/>
  <c r="AA85"/>
  <c r="V89"/>
  <c r="W89"/>
  <c r="AB89" s="1"/>
  <c r="X89"/>
  <c r="AC89" s="1"/>
  <c r="Y89"/>
  <c r="AD89" s="1"/>
  <c r="AA89"/>
  <c r="V93"/>
  <c r="W93"/>
  <c r="AB93" s="1"/>
  <c r="X93"/>
  <c r="AC93" s="1"/>
  <c r="Y93"/>
  <c r="AD93" s="1"/>
  <c r="AA93"/>
  <c r="V97"/>
  <c r="W97"/>
  <c r="AB97" s="1"/>
  <c r="X97"/>
  <c r="AC97" s="1"/>
  <c r="Y97"/>
  <c r="AD97" s="1"/>
  <c r="AA97"/>
  <c r="V98"/>
  <c r="W98"/>
  <c r="AB98" s="1"/>
  <c r="X98"/>
  <c r="AC98" s="1"/>
  <c r="Y98"/>
  <c r="AD98" s="1"/>
  <c r="AA98"/>
  <c r="V101"/>
  <c r="W101"/>
  <c r="AB101" s="1"/>
  <c r="X101"/>
  <c r="AC101" s="1"/>
  <c r="Y101"/>
  <c r="AD101" s="1"/>
  <c r="AA101"/>
  <c r="V103"/>
  <c r="W103"/>
  <c r="AB103" s="1"/>
  <c r="X103"/>
  <c r="AC103" s="1"/>
  <c r="Y103"/>
  <c r="AD103" s="1"/>
  <c r="AA103"/>
  <c r="V104"/>
  <c r="W104"/>
  <c r="AB104" s="1"/>
  <c r="X104"/>
  <c r="AC104" s="1"/>
  <c r="Y104"/>
  <c r="AD104" s="1"/>
  <c r="AA104"/>
  <c r="V106"/>
  <c r="AA106" s="1"/>
  <c r="W106"/>
  <c r="AB106" s="1"/>
  <c r="X106"/>
  <c r="AC106" s="1"/>
  <c r="Y106"/>
  <c r="AD106" s="1"/>
  <c r="Y7"/>
  <c r="AD7" s="1"/>
  <c r="W7"/>
  <c r="AB7" s="1"/>
  <c r="X7"/>
  <c r="AC7" s="1"/>
  <c r="V7"/>
  <c r="AA7" s="1"/>
  <c r="U8" l="1"/>
  <c r="Z8" s="1"/>
  <c r="V11"/>
  <c r="AA11" s="1"/>
  <c r="U7"/>
  <c r="Z7" s="1"/>
  <c r="U11"/>
  <c r="Z11" s="1"/>
  <c r="E23" i="7"/>
  <c r="E17"/>
  <c r="X11" i="3" l="1"/>
  <c r="AC11" s="1"/>
  <c r="Y11"/>
  <c r="AD11" s="1"/>
  <c r="V8"/>
  <c r="AA8" s="1"/>
  <c r="W8"/>
  <c r="AB8" s="1"/>
  <c r="W11"/>
  <c r="AB11" s="1"/>
  <c r="X8"/>
  <c r="AC8" s="1"/>
  <c r="Y8"/>
  <c r="AD8" s="1"/>
  <c r="K30" i="1"/>
  <c r="I30"/>
  <c r="E61" i="7"/>
  <c r="E63" s="1"/>
  <c r="E43"/>
  <c r="E44"/>
  <c r="E25"/>
  <c r="E26"/>
  <c r="E29"/>
  <c r="E72" s="1"/>
  <c r="E32"/>
  <c r="E35"/>
  <c r="E18"/>
  <c r="E19"/>
  <c r="E20"/>
  <c r="E31" s="1"/>
  <c r="E21"/>
  <c r="E22"/>
  <c r="E12"/>
  <c r="E8"/>
  <c r="E9"/>
  <c r="E70" s="1"/>
  <c r="E10"/>
  <c r="E11"/>
  <c r="E7"/>
  <c r="G7"/>
  <c r="H7"/>
  <c r="I7"/>
  <c r="J7"/>
  <c r="K7"/>
  <c r="F17"/>
  <c r="O30" i="1"/>
  <c r="N30"/>
  <c r="M30"/>
  <c r="K31"/>
  <c r="T105" i="3"/>
  <c r="T102"/>
  <c r="T100"/>
  <c r="T95"/>
  <c r="T91"/>
  <c r="T86"/>
  <c r="T88"/>
  <c r="T82"/>
  <c r="T78"/>
  <c r="T73"/>
  <c r="T75"/>
  <c r="T72" s="1"/>
  <c r="T62"/>
  <c r="T57"/>
  <c r="T53"/>
  <c r="T49"/>
  <c r="T46"/>
  <c r="E62" i="7" l="1"/>
  <c r="E37"/>
  <c r="E64"/>
  <c r="T47" i="3"/>
  <c r="T74"/>
  <c r="E36" i="7"/>
  <c r="E34"/>
  <c r="E30"/>
  <c r="E28"/>
  <c r="E24"/>
  <c r="J30" i="1" s="1"/>
  <c r="E51" i="7"/>
  <c r="E71"/>
  <c r="E69"/>
  <c r="E33"/>
  <c r="E27"/>
  <c r="E42"/>
  <c r="E52"/>
  <c r="E50"/>
  <c r="P30" i="1"/>
  <c r="T99" i="3"/>
  <c r="T70"/>
  <c r="T87"/>
  <c r="T71" s="1"/>
  <c r="F35" i="7"/>
  <c r="U13" i="3"/>
  <c r="Z13" s="1"/>
  <c r="F75"/>
  <c r="F72" s="1"/>
  <c r="H53" l="1"/>
  <c r="I53"/>
  <c r="J53"/>
  <c r="K53"/>
  <c r="L53"/>
  <c r="M53"/>
  <c r="N53"/>
  <c r="O53"/>
  <c r="Y53" s="1"/>
  <c r="AD53" s="1"/>
  <c r="P53"/>
  <c r="Q53"/>
  <c r="R53"/>
  <c r="S53"/>
  <c r="F53"/>
  <c r="H102"/>
  <c r="I102"/>
  <c r="J102"/>
  <c r="K102"/>
  <c r="L102"/>
  <c r="M102"/>
  <c r="N102"/>
  <c r="O102"/>
  <c r="Y102" s="1"/>
  <c r="AD102" s="1"/>
  <c r="P102"/>
  <c r="Q102"/>
  <c r="R102"/>
  <c r="S102"/>
  <c r="F102"/>
  <c r="H95"/>
  <c r="I95"/>
  <c r="J95"/>
  <c r="K95"/>
  <c r="P95"/>
  <c r="Q95"/>
  <c r="R95"/>
  <c r="S95"/>
  <c r="F95"/>
  <c r="F91"/>
  <c r="G77"/>
  <c r="L77" s="1"/>
  <c r="L78" s="1"/>
  <c r="F78"/>
  <c r="H91"/>
  <c r="I91"/>
  <c r="J91"/>
  <c r="K91"/>
  <c r="P91"/>
  <c r="Q91"/>
  <c r="R91"/>
  <c r="S91"/>
  <c r="H78"/>
  <c r="I78"/>
  <c r="J78"/>
  <c r="K78"/>
  <c r="P78"/>
  <c r="Q78"/>
  <c r="R78"/>
  <c r="S78"/>
  <c r="H82"/>
  <c r="I82"/>
  <c r="J82"/>
  <c r="K82"/>
  <c r="P82"/>
  <c r="Q82"/>
  <c r="R82"/>
  <c r="S82"/>
  <c r="H49"/>
  <c r="I49"/>
  <c r="J49"/>
  <c r="K49"/>
  <c r="L49"/>
  <c r="M49"/>
  <c r="N49"/>
  <c r="O49"/>
  <c r="Y49" s="1"/>
  <c r="AD49" s="1"/>
  <c r="P49"/>
  <c r="Q49"/>
  <c r="R49"/>
  <c r="S49"/>
  <c r="F49"/>
  <c r="H105"/>
  <c r="I105"/>
  <c r="J105"/>
  <c r="K105"/>
  <c r="L105"/>
  <c r="M105"/>
  <c r="N105"/>
  <c r="O105"/>
  <c r="Y105" s="1"/>
  <c r="AD105" s="1"/>
  <c r="P105"/>
  <c r="Q105"/>
  <c r="R105"/>
  <c r="S105"/>
  <c r="F105"/>
  <c r="BB130" i="4"/>
  <c r="F23" i="7"/>
  <c r="I31" i="1" s="1"/>
  <c r="F8" i="5"/>
  <c r="G12" i="7"/>
  <c r="H21" i="5"/>
  <c r="X10" i="4"/>
  <c r="M77" i="3" l="1"/>
  <c r="V77"/>
  <c r="AA77" s="1"/>
  <c r="X105"/>
  <c r="AC105" s="1"/>
  <c r="V105"/>
  <c r="AA105" s="1"/>
  <c r="W49"/>
  <c r="AB49" s="1"/>
  <c r="F87"/>
  <c r="U20"/>
  <c r="U18"/>
  <c r="Z18" s="1"/>
  <c r="G39"/>
  <c r="G78"/>
  <c r="U78" s="1"/>
  <c r="Z78" s="1"/>
  <c r="U77"/>
  <c r="Z77" s="1"/>
  <c r="W102"/>
  <c r="AB102" s="1"/>
  <c r="X53"/>
  <c r="AC53" s="1"/>
  <c r="V53"/>
  <c r="AA53" s="1"/>
  <c r="W105"/>
  <c r="AB105" s="1"/>
  <c r="X49"/>
  <c r="AC49" s="1"/>
  <c r="V49"/>
  <c r="AA49" s="1"/>
  <c r="V78"/>
  <c r="AA78" s="1"/>
  <c r="X102"/>
  <c r="AC102" s="1"/>
  <c r="V102"/>
  <c r="AA102" s="1"/>
  <c r="W53"/>
  <c r="AB53" s="1"/>
  <c r="F74"/>
  <c r="V20"/>
  <c r="AA20" s="1"/>
  <c r="D71" i="7"/>
  <c r="H99" i="3"/>
  <c r="J99"/>
  <c r="L99"/>
  <c r="N99"/>
  <c r="P99"/>
  <c r="S99"/>
  <c r="I87"/>
  <c r="K87"/>
  <c r="Q87"/>
  <c r="P87"/>
  <c r="R87"/>
  <c r="I47"/>
  <c r="K47"/>
  <c r="P57"/>
  <c r="Q57"/>
  <c r="Q47" s="1"/>
  <c r="R57"/>
  <c r="R47" s="1"/>
  <c r="S57"/>
  <c r="S47" s="1"/>
  <c r="F47"/>
  <c r="L31" i="1" s="1"/>
  <c r="H46" i="3"/>
  <c r="I46"/>
  <c r="J46"/>
  <c r="K46"/>
  <c r="L46"/>
  <c r="M46"/>
  <c r="N46"/>
  <c r="O46"/>
  <c r="P46"/>
  <c r="Q46"/>
  <c r="R46"/>
  <c r="S46"/>
  <c r="F46"/>
  <c r="Y39"/>
  <c r="AD39" s="1"/>
  <c r="Q99"/>
  <c r="R99"/>
  <c r="P100"/>
  <c r="Q100"/>
  <c r="R100"/>
  <c r="S100"/>
  <c r="P86"/>
  <c r="Q86"/>
  <c r="R86"/>
  <c r="S86"/>
  <c r="S87"/>
  <c r="P88"/>
  <c r="Q88"/>
  <c r="R88"/>
  <c r="S88"/>
  <c r="P73"/>
  <c r="Q73"/>
  <c r="R73"/>
  <c r="S73"/>
  <c r="P74"/>
  <c r="Q74"/>
  <c r="R74"/>
  <c r="S74"/>
  <c r="P75"/>
  <c r="Q75"/>
  <c r="R75"/>
  <c r="S75"/>
  <c r="I62"/>
  <c r="J62"/>
  <c r="K62"/>
  <c r="L62"/>
  <c r="M62"/>
  <c r="N62"/>
  <c r="O62"/>
  <c r="Y62" s="1"/>
  <c r="AD62" s="1"/>
  <c r="P62"/>
  <c r="Q62"/>
  <c r="R62"/>
  <c r="S62"/>
  <c r="H73"/>
  <c r="I73"/>
  <c r="J73"/>
  <c r="K73"/>
  <c r="H74"/>
  <c r="I74"/>
  <c r="J74"/>
  <c r="K74"/>
  <c r="H75"/>
  <c r="I75"/>
  <c r="J75"/>
  <c r="K75"/>
  <c r="I99"/>
  <c r="K99"/>
  <c r="M99"/>
  <c r="O99"/>
  <c r="Y99" s="1"/>
  <c r="AD99" s="1"/>
  <c r="H100"/>
  <c r="I100"/>
  <c r="J100"/>
  <c r="K100"/>
  <c r="L100"/>
  <c r="M100"/>
  <c r="W100" s="1"/>
  <c r="AB100" s="1"/>
  <c r="N100"/>
  <c r="O100"/>
  <c r="Y100" s="1"/>
  <c r="AD100" s="1"/>
  <c r="H86"/>
  <c r="I86"/>
  <c r="J86"/>
  <c r="K86"/>
  <c r="H87"/>
  <c r="J87"/>
  <c r="H88"/>
  <c r="I88"/>
  <c r="J88"/>
  <c r="K88"/>
  <c r="G89"/>
  <c r="U89" s="1"/>
  <c r="Z89" s="1"/>
  <c r="G101"/>
  <c r="F99"/>
  <c r="F100"/>
  <c r="F62"/>
  <c r="X100" l="1"/>
  <c r="AC100" s="1"/>
  <c r="W99"/>
  <c r="AB99" s="1"/>
  <c r="V100"/>
  <c r="AA100" s="1"/>
  <c r="N77"/>
  <c r="W77"/>
  <c r="AB77" s="1"/>
  <c r="M78"/>
  <c r="X62"/>
  <c r="AC62" s="1"/>
  <c r="V62"/>
  <c r="AA62" s="1"/>
  <c r="G102"/>
  <c r="U102" s="1"/>
  <c r="Z102" s="1"/>
  <c r="U101"/>
  <c r="Z101" s="1"/>
  <c r="Y46"/>
  <c r="AD46" s="1"/>
  <c r="M36" i="1"/>
  <c r="W46" i="3"/>
  <c r="AB46" s="1"/>
  <c r="M34" i="1"/>
  <c r="W62" i="3"/>
  <c r="AB62" s="1"/>
  <c r="V99"/>
  <c r="AA99" s="1"/>
  <c r="X46"/>
  <c r="AC46" s="1"/>
  <c r="M35" i="1"/>
  <c r="V46" i="3"/>
  <c r="AA46" s="1"/>
  <c r="M33" i="1"/>
  <c r="M31"/>
  <c r="X99" i="3"/>
  <c r="AC99" s="1"/>
  <c r="X39"/>
  <c r="AC39" s="1"/>
  <c r="W39"/>
  <c r="AB39" s="1"/>
  <c r="V39"/>
  <c r="AA39" s="1"/>
  <c r="J72"/>
  <c r="J70"/>
  <c r="P72"/>
  <c r="R70"/>
  <c r="S72"/>
  <c r="Q70"/>
  <c r="H72"/>
  <c r="H70"/>
  <c r="Q72"/>
  <c r="S70"/>
  <c r="R71"/>
  <c r="P71"/>
  <c r="I72"/>
  <c r="K70"/>
  <c r="P70"/>
  <c r="R72"/>
  <c r="K72"/>
  <c r="I70"/>
  <c r="K71"/>
  <c r="I71"/>
  <c r="S71"/>
  <c r="Q71"/>
  <c r="J71"/>
  <c r="H71"/>
  <c r="F71"/>
  <c r="N31" i="1" s="1"/>
  <c r="P47" i="3"/>
  <c r="J47"/>
  <c r="H47"/>
  <c r="O31" i="1"/>
  <c r="D70" i="7"/>
  <c r="D51"/>
  <c r="D50"/>
  <c r="D43"/>
  <c r="D42"/>
  <c r="D37"/>
  <c r="D36"/>
  <c r="D34"/>
  <c r="D33"/>
  <c r="D31"/>
  <c r="D30"/>
  <c r="D28"/>
  <c r="D27"/>
  <c r="D25"/>
  <c r="D24"/>
  <c r="F32"/>
  <c r="I29"/>
  <c r="I72" s="1"/>
  <c r="J29"/>
  <c r="J72" s="1"/>
  <c r="K29"/>
  <c r="K72" s="1"/>
  <c r="H29"/>
  <c r="H72" s="1"/>
  <c r="F29"/>
  <c r="I23"/>
  <c r="J23"/>
  <c r="K23"/>
  <c r="H23"/>
  <c r="H20"/>
  <c r="I20"/>
  <c r="J20"/>
  <c r="K20"/>
  <c r="I18"/>
  <c r="J18"/>
  <c r="K18"/>
  <c r="H18"/>
  <c r="F20"/>
  <c r="F22"/>
  <c r="F18"/>
  <c r="I17"/>
  <c r="J17"/>
  <c r="K17"/>
  <c r="H17"/>
  <c r="F12"/>
  <c r="H12"/>
  <c r="I12"/>
  <c r="J12"/>
  <c r="K12"/>
  <c r="H8"/>
  <c r="I8"/>
  <c r="J8"/>
  <c r="K8"/>
  <c r="H9"/>
  <c r="H70" s="1"/>
  <c r="I9"/>
  <c r="I70" s="1"/>
  <c r="J9"/>
  <c r="J70" s="1"/>
  <c r="K9"/>
  <c r="K70" s="1"/>
  <c r="H11"/>
  <c r="I11"/>
  <c r="J11"/>
  <c r="K11"/>
  <c r="F8"/>
  <c r="F9"/>
  <c r="F70" s="1"/>
  <c r="F10"/>
  <c r="F33" s="1"/>
  <c r="F11"/>
  <c r="W78" i="3" l="1"/>
  <c r="AB78" s="1"/>
  <c r="O77"/>
  <c r="X77"/>
  <c r="AC77" s="1"/>
  <c r="N78"/>
  <c r="I35" i="1"/>
  <c r="I34"/>
  <c r="I33"/>
  <c r="I36"/>
  <c r="D44" i="7"/>
  <c r="D61"/>
  <c r="K31"/>
  <c r="I31"/>
  <c r="K24"/>
  <c r="J36" i="1" s="1"/>
  <c r="I24" i="7"/>
  <c r="J34" i="1" s="1"/>
  <c r="K25" i="7"/>
  <c r="I25"/>
  <c r="F27"/>
  <c r="F28"/>
  <c r="K30"/>
  <c r="I30"/>
  <c r="F34"/>
  <c r="F37"/>
  <c r="F36"/>
  <c r="F43"/>
  <c r="K52"/>
  <c r="I52"/>
  <c r="K51"/>
  <c r="I51"/>
  <c r="K50"/>
  <c r="I50"/>
  <c r="F61"/>
  <c r="F63" s="1"/>
  <c r="K69"/>
  <c r="K71" s="1"/>
  <c r="I69"/>
  <c r="I71" s="1"/>
  <c r="F31"/>
  <c r="J31"/>
  <c r="H71"/>
  <c r="H31"/>
  <c r="J24"/>
  <c r="J35" i="1" s="1"/>
  <c r="H24" i="7"/>
  <c r="J33" i="1" s="1"/>
  <c r="F24" i="7"/>
  <c r="J31" i="1" s="1"/>
  <c r="J25" i="7"/>
  <c r="H25"/>
  <c r="F25"/>
  <c r="J30"/>
  <c r="H30"/>
  <c r="F30"/>
  <c r="F42"/>
  <c r="F44"/>
  <c r="J52"/>
  <c r="H52"/>
  <c r="F52"/>
  <c r="J51"/>
  <c r="H51"/>
  <c r="F51"/>
  <c r="J50"/>
  <c r="H50"/>
  <c r="F50"/>
  <c r="J69"/>
  <c r="J71" s="1"/>
  <c r="H69"/>
  <c r="F69"/>
  <c r="F71" s="1"/>
  <c r="G10" i="5"/>
  <c r="G11"/>
  <c r="F11" s="1"/>
  <c r="G12"/>
  <c r="F12" s="1"/>
  <c r="G13"/>
  <c r="F13" s="1"/>
  <c r="G14"/>
  <c r="G15"/>
  <c r="F15" s="1"/>
  <c r="F16"/>
  <c r="G17"/>
  <c r="F17" s="1"/>
  <c r="G18"/>
  <c r="G19"/>
  <c r="F19" s="1"/>
  <c r="G20"/>
  <c r="F20" s="1"/>
  <c r="F10"/>
  <c r="F14"/>
  <c r="F18"/>
  <c r="BJ127" i="4"/>
  <c r="BD127"/>
  <c r="X127"/>
  <c r="H127"/>
  <c r="G127" s="1"/>
  <c r="BJ126"/>
  <c r="BD126"/>
  <c r="X126"/>
  <c r="H126"/>
  <c r="G126" s="1"/>
  <c r="BJ123"/>
  <c r="BD123"/>
  <c r="X123"/>
  <c r="H123"/>
  <c r="G123" s="1"/>
  <c r="BJ122"/>
  <c r="BD122"/>
  <c r="X122"/>
  <c r="H122"/>
  <c r="G122" s="1"/>
  <c r="BO120"/>
  <c r="BO124" s="1"/>
  <c r="BO128" s="1"/>
  <c r="BN120"/>
  <c r="BN124" s="1"/>
  <c r="BN128" s="1"/>
  <c r="BM120"/>
  <c r="BM124" s="1"/>
  <c r="BM128" s="1"/>
  <c r="BL120"/>
  <c r="BL124" s="1"/>
  <c r="BL128" s="1"/>
  <c r="BK120"/>
  <c r="BK124" s="1"/>
  <c r="BK128" s="1"/>
  <c r="BI120"/>
  <c r="BI124" s="1"/>
  <c r="BI128" s="1"/>
  <c r="BH120"/>
  <c r="BG120"/>
  <c r="BG124" s="1"/>
  <c r="BG128" s="1"/>
  <c r="BF120"/>
  <c r="BF124" s="1"/>
  <c r="BF128" s="1"/>
  <c r="BE120"/>
  <c r="BE124" s="1"/>
  <c r="BE128" s="1"/>
  <c r="AY120"/>
  <c r="AY124" s="1"/>
  <c r="AY128" s="1"/>
  <c r="AX120"/>
  <c r="AX124" s="1"/>
  <c r="AX128" s="1"/>
  <c r="AW120"/>
  <c r="AW124" s="1"/>
  <c r="AW128" s="1"/>
  <c r="AV120"/>
  <c r="AV124" s="1"/>
  <c r="AV128" s="1"/>
  <c r="AU120"/>
  <c r="AU124" s="1"/>
  <c r="AU128" s="1"/>
  <c r="AT120"/>
  <c r="AT124" s="1"/>
  <c r="AT128" s="1"/>
  <c r="AS120"/>
  <c r="AS124" s="1"/>
  <c r="AS128" s="1"/>
  <c r="AR120"/>
  <c r="AR124" s="1"/>
  <c r="AR128" s="1"/>
  <c r="AQ120"/>
  <c r="AQ124" s="1"/>
  <c r="AQ128" s="1"/>
  <c r="AP120"/>
  <c r="AP124" s="1"/>
  <c r="AP128" s="1"/>
  <c r="AO120"/>
  <c r="AO124" s="1"/>
  <c r="AO128" s="1"/>
  <c r="AN120"/>
  <c r="AN124" s="1"/>
  <c r="AN128" s="1"/>
  <c r="AM120"/>
  <c r="AM124" s="1"/>
  <c r="AM128" s="1"/>
  <c r="AL120"/>
  <c r="AL124" s="1"/>
  <c r="AL128" s="1"/>
  <c r="AK120"/>
  <c r="AK124" s="1"/>
  <c r="AK128" s="1"/>
  <c r="AJ120"/>
  <c r="AJ124" s="1"/>
  <c r="AJ128" s="1"/>
  <c r="AI120"/>
  <c r="AI124" s="1"/>
  <c r="AI128" s="1"/>
  <c r="AH120"/>
  <c r="AH124" s="1"/>
  <c r="AH128" s="1"/>
  <c r="AG120"/>
  <c r="AG124" s="1"/>
  <c r="AG128" s="1"/>
  <c r="AF120"/>
  <c r="AF124" s="1"/>
  <c r="AF128" s="1"/>
  <c r="AE120"/>
  <c r="AE124" s="1"/>
  <c r="AE128" s="1"/>
  <c r="AD120"/>
  <c r="AD124" s="1"/>
  <c r="AD128" s="1"/>
  <c r="AC120"/>
  <c r="AC124" s="1"/>
  <c r="AC128" s="1"/>
  <c r="AB120"/>
  <c r="AB124" s="1"/>
  <c r="AB128" s="1"/>
  <c r="AA120"/>
  <c r="AA124" s="1"/>
  <c r="AA128" s="1"/>
  <c r="Z120"/>
  <c r="Z124" s="1"/>
  <c r="Z128" s="1"/>
  <c r="BJ119"/>
  <c r="BD119"/>
  <c r="X119"/>
  <c r="H119"/>
  <c r="G119" s="1"/>
  <c r="BJ118"/>
  <c r="BJ120" s="1"/>
  <c r="BD118"/>
  <c r="X118"/>
  <c r="H118"/>
  <c r="G118" s="1"/>
  <c r="BJ114"/>
  <c r="BD114"/>
  <c r="X114"/>
  <c r="H114"/>
  <c r="G114" s="1"/>
  <c r="BJ113"/>
  <c r="BD113"/>
  <c r="X113"/>
  <c r="H113"/>
  <c r="G113" s="1"/>
  <c r="BJ110"/>
  <c r="BD110"/>
  <c r="X110"/>
  <c r="H110"/>
  <c r="G110" s="1"/>
  <c r="BJ109"/>
  <c r="BD109"/>
  <c r="X109"/>
  <c r="H109"/>
  <c r="G109" s="1"/>
  <c r="BO107"/>
  <c r="BO111" s="1"/>
  <c r="BO115" s="1"/>
  <c r="BN107"/>
  <c r="BN111" s="1"/>
  <c r="BN115" s="1"/>
  <c r="BM107"/>
  <c r="BM111" s="1"/>
  <c r="BM115" s="1"/>
  <c r="BL107"/>
  <c r="BL111" s="1"/>
  <c r="BL115" s="1"/>
  <c r="BK107"/>
  <c r="BK111" s="1"/>
  <c r="BK115" s="1"/>
  <c r="BI107"/>
  <c r="BI111" s="1"/>
  <c r="BI115" s="1"/>
  <c r="BH107"/>
  <c r="BH111" s="1"/>
  <c r="BH115" s="1"/>
  <c r="BG107"/>
  <c r="BG111" s="1"/>
  <c r="BG115" s="1"/>
  <c r="BF107"/>
  <c r="BF111" s="1"/>
  <c r="BF115" s="1"/>
  <c r="BE107"/>
  <c r="BE111" s="1"/>
  <c r="BE115" s="1"/>
  <c r="AY107"/>
  <c r="AY111" s="1"/>
  <c r="AY115" s="1"/>
  <c r="AX107"/>
  <c r="AX111" s="1"/>
  <c r="AX115" s="1"/>
  <c r="AW107"/>
  <c r="AW111" s="1"/>
  <c r="AW115" s="1"/>
  <c r="AV107"/>
  <c r="AV111" s="1"/>
  <c r="AV115" s="1"/>
  <c r="AU107"/>
  <c r="AU111" s="1"/>
  <c r="AU115" s="1"/>
  <c r="AT107"/>
  <c r="AT111" s="1"/>
  <c r="AT115" s="1"/>
  <c r="AS107"/>
  <c r="AS111" s="1"/>
  <c r="AS115" s="1"/>
  <c r="AR107"/>
  <c r="AR111" s="1"/>
  <c r="AR115" s="1"/>
  <c r="AQ107"/>
  <c r="AQ111" s="1"/>
  <c r="AQ115" s="1"/>
  <c r="AP107"/>
  <c r="AP111" s="1"/>
  <c r="AP115" s="1"/>
  <c r="AO107"/>
  <c r="AO111" s="1"/>
  <c r="AO115" s="1"/>
  <c r="AN107"/>
  <c r="AN111" s="1"/>
  <c r="AN115" s="1"/>
  <c r="AM107"/>
  <c r="AM111" s="1"/>
  <c r="AM115" s="1"/>
  <c r="AL107"/>
  <c r="AL111" s="1"/>
  <c r="AL115" s="1"/>
  <c r="AK107"/>
  <c r="AK111" s="1"/>
  <c r="AK115" s="1"/>
  <c r="AJ107"/>
  <c r="AJ111" s="1"/>
  <c r="AJ115" s="1"/>
  <c r="AI107"/>
  <c r="AI111" s="1"/>
  <c r="AI115" s="1"/>
  <c r="AH107"/>
  <c r="AH111" s="1"/>
  <c r="AH115" s="1"/>
  <c r="AG107"/>
  <c r="AG111" s="1"/>
  <c r="AG115" s="1"/>
  <c r="AF107"/>
  <c r="AF111" s="1"/>
  <c r="AF115" s="1"/>
  <c r="AE107"/>
  <c r="AE111" s="1"/>
  <c r="AE115" s="1"/>
  <c r="AD107"/>
  <c r="AD111" s="1"/>
  <c r="AD115" s="1"/>
  <c r="AC107"/>
  <c r="AC111" s="1"/>
  <c r="AC115" s="1"/>
  <c r="AB107"/>
  <c r="AB111" s="1"/>
  <c r="AB115" s="1"/>
  <c r="AA107"/>
  <c r="AA111" s="1"/>
  <c r="AA115" s="1"/>
  <c r="Z107"/>
  <c r="Z111" s="1"/>
  <c r="Z115" s="1"/>
  <c r="BJ106"/>
  <c r="BD106"/>
  <c r="X106"/>
  <c r="H106"/>
  <c r="G106" s="1"/>
  <c r="BJ105"/>
  <c r="BJ107" s="1"/>
  <c r="BD105"/>
  <c r="X105"/>
  <c r="H105"/>
  <c r="G105" s="1"/>
  <c r="BO101"/>
  <c r="BN101"/>
  <c r="BM101"/>
  <c r="BL101"/>
  <c r="BK101"/>
  <c r="BI101"/>
  <c r="BH101"/>
  <c r="BG101"/>
  <c r="BF101"/>
  <c r="BE101"/>
  <c r="AY101"/>
  <c r="AX101"/>
  <c r="AW101"/>
  <c r="AV101"/>
  <c r="AU101"/>
  <c r="AT101"/>
  <c r="AS101"/>
  <c r="AR101"/>
  <c r="AQ101"/>
  <c r="AP101"/>
  <c r="AO101"/>
  <c r="AN101"/>
  <c r="AM101"/>
  <c r="AL101"/>
  <c r="AK101"/>
  <c r="AJ101"/>
  <c r="AI101"/>
  <c r="AH101"/>
  <c r="AG101"/>
  <c r="AF101"/>
  <c r="AE101"/>
  <c r="AD101"/>
  <c r="AC101"/>
  <c r="AB101"/>
  <c r="AA101"/>
  <c r="Z101"/>
  <c r="BJ100"/>
  <c r="BD100"/>
  <c r="X100"/>
  <c r="H100"/>
  <c r="G100" s="1"/>
  <c r="BJ99"/>
  <c r="BD99"/>
  <c r="X99"/>
  <c r="H99"/>
  <c r="G99" s="1"/>
  <c r="BJ98"/>
  <c r="BD98"/>
  <c r="X98"/>
  <c r="H98"/>
  <c r="G98" s="1"/>
  <c r="BO96"/>
  <c r="BN96"/>
  <c r="BM96"/>
  <c r="BL96"/>
  <c r="BK96"/>
  <c r="BI96"/>
  <c r="BH96"/>
  <c r="BG96"/>
  <c r="BF96"/>
  <c r="BE96"/>
  <c r="AY96"/>
  <c r="AX96"/>
  <c r="AW96"/>
  <c r="AV96"/>
  <c r="AU96"/>
  <c r="AT96"/>
  <c r="AS96"/>
  <c r="AR96"/>
  <c r="AQ96"/>
  <c r="AP96"/>
  <c r="AO96"/>
  <c r="AN96"/>
  <c r="AM96"/>
  <c r="AL96"/>
  <c r="AK96"/>
  <c r="AJ96"/>
  <c r="AI96"/>
  <c r="AH96"/>
  <c r="AG96"/>
  <c r="AF96"/>
  <c r="AE96"/>
  <c r="AD96"/>
  <c r="AC96"/>
  <c r="AB96"/>
  <c r="AA96"/>
  <c r="Z96"/>
  <c r="BJ95"/>
  <c r="BD95"/>
  <c r="X95"/>
  <c r="H95"/>
  <c r="G95" s="1"/>
  <c r="BJ94"/>
  <c r="BD94"/>
  <c r="X94"/>
  <c r="H94"/>
  <c r="G94" s="1"/>
  <c r="BJ93"/>
  <c r="BD93"/>
  <c r="X93"/>
  <c r="H93"/>
  <c r="G93" s="1"/>
  <c r="BO91"/>
  <c r="BN91"/>
  <c r="BM91"/>
  <c r="BL91"/>
  <c r="BK91"/>
  <c r="BI91"/>
  <c r="BH91"/>
  <c r="BG91"/>
  <c r="BF91"/>
  <c r="BE91"/>
  <c r="AY91"/>
  <c r="AX91"/>
  <c r="AW91"/>
  <c r="AV91"/>
  <c r="AU91"/>
  <c r="AT91"/>
  <c r="AS91"/>
  <c r="AR91"/>
  <c r="AQ91"/>
  <c r="AP91"/>
  <c r="AO91"/>
  <c r="AN91"/>
  <c r="AM91"/>
  <c r="AL91"/>
  <c r="AK91"/>
  <c r="AJ91"/>
  <c r="AI91"/>
  <c r="AH91"/>
  <c r="AG91"/>
  <c r="AF91"/>
  <c r="AE91"/>
  <c r="AD91"/>
  <c r="AC91"/>
  <c r="AB91"/>
  <c r="AA91"/>
  <c r="Z91"/>
  <c r="BJ90"/>
  <c r="BD90"/>
  <c r="X90"/>
  <c r="H90"/>
  <c r="G90" s="1"/>
  <c r="BJ89"/>
  <c r="BD89"/>
  <c r="X89"/>
  <c r="H89"/>
  <c r="G89" s="1"/>
  <c r="BJ88"/>
  <c r="BD88"/>
  <c r="X88"/>
  <c r="H88"/>
  <c r="G88" s="1"/>
  <c r="BO86"/>
  <c r="BN86"/>
  <c r="BM86"/>
  <c r="BL86"/>
  <c r="BK86"/>
  <c r="BI86"/>
  <c r="BH86"/>
  <c r="BG86"/>
  <c r="BF86"/>
  <c r="BE86"/>
  <c r="AY86"/>
  <c r="AX86"/>
  <c r="AW86"/>
  <c r="AV86"/>
  <c r="AU86"/>
  <c r="AT86"/>
  <c r="AS86"/>
  <c r="AR86"/>
  <c r="AQ86"/>
  <c r="AP86"/>
  <c r="AO86"/>
  <c r="AN86"/>
  <c r="AM86"/>
  <c r="AL86"/>
  <c r="AK86"/>
  <c r="AJ86"/>
  <c r="AI86"/>
  <c r="AH86"/>
  <c r="AG86"/>
  <c r="AF86"/>
  <c r="AE86"/>
  <c r="AD86"/>
  <c r="AC86"/>
  <c r="AB86"/>
  <c r="AA86"/>
  <c r="Z86"/>
  <c r="BJ85"/>
  <c r="BD85"/>
  <c r="X85"/>
  <c r="H85"/>
  <c r="G85" s="1"/>
  <c r="BJ84"/>
  <c r="BD84"/>
  <c r="X84"/>
  <c r="H84"/>
  <c r="G84" s="1"/>
  <c r="BJ83"/>
  <c r="BJ86" s="1"/>
  <c r="BD83"/>
  <c r="X83"/>
  <c r="H83"/>
  <c r="G83" s="1"/>
  <c r="BO81"/>
  <c r="BN81"/>
  <c r="BM81"/>
  <c r="BL81"/>
  <c r="BK81"/>
  <c r="BI81"/>
  <c r="BH81"/>
  <c r="BG81"/>
  <c r="BF81"/>
  <c r="BE81"/>
  <c r="AY81"/>
  <c r="AX81"/>
  <c r="AW81"/>
  <c r="AV81"/>
  <c r="AU81"/>
  <c r="AT81"/>
  <c r="AS81"/>
  <c r="AR81"/>
  <c r="AQ81"/>
  <c r="AP81"/>
  <c r="AO81"/>
  <c r="AN81"/>
  <c r="AM81"/>
  <c r="AL81"/>
  <c r="AK81"/>
  <c r="AJ81"/>
  <c r="AI81"/>
  <c r="AH81"/>
  <c r="AG81"/>
  <c r="AF81"/>
  <c r="AE81"/>
  <c r="AD81"/>
  <c r="AC81"/>
  <c r="AB81"/>
  <c r="AA81"/>
  <c r="Z81"/>
  <c r="BJ80"/>
  <c r="BD80"/>
  <c r="X80"/>
  <c r="H80"/>
  <c r="G80" s="1"/>
  <c r="BJ79"/>
  <c r="BD79"/>
  <c r="X79"/>
  <c r="H79"/>
  <c r="G79" s="1"/>
  <c r="BJ78"/>
  <c r="BJ81" s="1"/>
  <c r="BD78"/>
  <c r="X78"/>
  <c r="H78"/>
  <c r="G78" s="1"/>
  <c r="BO76"/>
  <c r="BN76"/>
  <c r="BM76"/>
  <c r="BL76"/>
  <c r="BK76"/>
  <c r="BI76"/>
  <c r="BH76"/>
  <c r="BG76"/>
  <c r="BF76"/>
  <c r="BE76"/>
  <c r="AY76"/>
  <c r="AX76"/>
  <c r="AW76"/>
  <c r="AV76"/>
  <c r="AU76"/>
  <c r="AT76"/>
  <c r="AS76"/>
  <c r="AR76"/>
  <c r="AQ76"/>
  <c r="AP76"/>
  <c r="AO76"/>
  <c r="AN76"/>
  <c r="AM76"/>
  <c r="AL76"/>
  <c r="AK76"/>
  <c r="AJ76"/>
  <c r="AI76"/>
  <c r="AH76"/>
  <c r="AG76"/>
  <c r="AF76"/>
  <c r="AE76"/>
  <c r="AD76"/>
  <c r="AC76"/>
  <c r="AB76"/>
  <c r="AA76"/>
  <c r="Z76"/>
  <c r="BJ75"/>
  <c r="BD75"/>
  <c r="X75"/>
  <c r="H75"/>
  <c r="G75" s="1"/>
  <c r="BJ74"/>
  <c r="BD74"/>
  <c r="X74"/>
  <c r="H74"/>
  <c r="G74" s="1"/>
  <c r="BJ73"/>
  <c r="BJ76" s="1"/>
  <c r="BD73"/>
  <c r="H73"/>
  <c r="G73" s="1"/>
  <c r="BO70"/>
  <c r="BN70"/>
  <c r="BM70"/>
  <c r="BL70"/>
  <c r="BK70"/>
  <c r="BI70"/>
  <c r="BH70"/>
  <c r="BG70"/>
  <c r="BF70"/>
  <c r="BE70"/>
  <c r="AY70"/>
  <c r="AX70"/>
  <c r="AW70"/>
  <c r="AV70"/>
  <c r="AU70"/>
  <c r="AT70"/>
  <c r="AS70"/>
  <c r="AR70"/>
  <c r="AQ70"/>
  <c r="AP70"/>
  <c r="AO70"/>
  <c r="AN70"/>
  <c r="AM70"/>
  <c r="AL70"/>
  <c r="AK70"/>
  <c r="AJ70"/>
  <c r="AI70"/>
  <c r="AH70"/>
  <c r="AG70"/>
  <c r="AF70"/>
  <c r="AE70"/>
  <c r="AD70"/>
  <c r="AC70"/>
  <c r="AB70"/>
  <c r="AA70"/>
  <c r="Z70"/>
  <c r="BJ69"/>
  <c r="BD69"/>
  <c r="X69"/>
  <c r="H69"/>
  <c r="G69" s="1"/>
  <c r="BJ68"/>
  <c r="BD68"/>
  <c r="X68"/>
  <c r="H68"/>
  <c r="G68" s="1"/>
  <c r="BJ67"/>
  <c r="BJ70" s="1"/>
  <c r="BD67"/>
  <c r="X67"/>
  <c r="H67"/>
  <c r="G67" s="1"/>
  <c r="BO65"/>
  <c r="BN65"/>
  <c r="BM65"/>
  <c r="BL65"/>
  <c r="BK65"/>
  <c r="BI65"/>
  <c r="BH65"/>
  <c r="BG65"/>
  <c r="BF65"/>
  <c r="BE65"/>
  <c r="AY65"/>
  <c r="AX65"/>
  <c r="AW65"/>
  <c r="AV65"/>
  <c r="AU65"/>
  <c r="AT65"/>
  <c r="AS65"/>
  <c r="AR65"/>
  <c r="AQ65"/>
  <c r="AP65"/>
  <c r="AO65"/>
  <c r="AN65"/>
  <c r="AM65"/>
  <c r="AL65"/>
  <c r="AK65"/>
  <c r="AJ65"/>
  <c r="AI65"/>
  <c r="AH65"/>
  <c r="AG65"/>
  <c r="AF65"/>
  <c r="AE65"/>
  <c r="AD65"/>
  <c r="AC65"/>
  <c r="AB65"/>
  <c r="AA65"/>
  <c r="Z65"/>
  <c r="BJ64"/>
  <c r="BD64"/>
  <c r="X64"/>
  <c r="H64"/>
  <c r="G64" s="1"/>
  <c r="BJ63"/>
  <c r="BD63"/>
  <c r="X63"/>
  <c r="H63"/>
  <c r="G63" s="1"/>
  <c r="BJ62"/>
  <c r="BJ65" s="1"/>
  <c r="BD62"/>
  <c r="X62"/>
  <c r="H62"/>
  <c r="G62" s="1"/>
  <c r="BO60"/>
  <c r="BN60"/>
  <c r="BM60"/>
  <c r="BL60"/>
  <c r="BK60"/>
  <c r="BI60"/>
  <c r="BH60"/>
  <c r="BG60"/>
  <c r="BF60"/>
  <c r="BE60"/>
  <c r="AY60"/>
  <c r="AX60"/>
  <c r="AW60"/>
  <c r="AV60"/>
  <c r="AU60"/>
  <c r="AT60"/>
  <c r="AS60"/>
  <c r="AR60"/>
  <c r="AQ60"/>
  <c r="AP60"/>
  <c r="AO60"/>
  <c r="AN60"/>
  <c r="AM60"/>
  <c r="AL60"/>
  <c r="AK60"/>
  <c r="AJ60"/>
  <c r="AI60"/>
  <c r="AH60"/>
  <c r="AG60"/>
  <c r="AF60"/>
  <c r="AE60"/>
  <c r="AD60"/>
  <c r="AC60"/>
  <c r="AB60"/>
  <c r="AA60"/>
  <c r="Z60"/>
  <c r="BJ59"/>
  <c r="BD59"/>
  <c r="X59"/>
  <c r="H59"/>
  <c r="G59" s="1"/>
  <c r="BJ58"/>
  <c r="BD58"/>
  <c r="X58"/>
  <c r="H58"/>
  <c r="G58" s="1"/>
  <c r="BJ57"/>
  <c r="BD57"/>
  <c r="X57"/>
  <c r="H57"/>
  <c r="G57" s="1"/>
  <c r="BO55"/>
  <c r="BN55"/>
  <c r="BM55"/>
  <c r="BL55"/>
  <c r="BK55"/>
  <c r="BI55"/>
  <c r="BH55"/>
  <c r="BG55"/>
  <c r="BF55"/>
  <c r="BE55"/>
  <c r="AY55"/>
  <c r="AX55"/>
  <c r="AW55"/>
  <c r="AV55"/>
  <c r="AU55"/>
  <c r="AT55"/>
  <c r="AS55"/>
  <c r="AR55"/>
  <c r="AQ55"/>
  <c r="AP55"/>
  <c r="AO55"/>
  <c r="AN55"/>
  <c r="AM55"/>
  <c r="AL55"/>
  <c r="AK55"/>
  <c r="AJ55"/>
  <c r="AI55"/>
  <c r="AH55"/>
  <c r="AG55"/>
  <c r="AF55"/>
  <c r="AE55"/>
  <c r="AD55"/>
  <c r="AC55"/>
  <c r="AB55"/>
  <c r="AA55"/>
  <c r="Z55"/>
  <c r="BJ54"/>
  <c r="BD54"/>
  <c r="X54"/>
  <c r="H54"/>
  <c r="G54" s="1"/>
  <c r="BJ53"/>
  <c r="BD53"/>
  <c r="X53"/>
  <c r="H53"/>
  <c r="G53" s="1"/>
  <c r="BJ52"/>
  <c r="BD52"/>
  <c r="X52"/>
  <c r="H52"/>
  <c r="G52" s="1"/>
  <c r="BO50"/>
  <c r="BN50"/>
  <c r="BM50"/>
  <c r="BL50"/>
  <c r="BK50"/>
  <c r="BI50"/>
  <c r="BH50"/>
  <c r="BG50"/>
  <c r="BF50"/>
  <c r="BE50"/>
  <c r="AY50"/>
  <c r="AX50"/>
  <c r="AW50"/>
  <c r="AV50"/>
  <c r="AU50"/>
  <c r="AT50"/>
  <c r="AS50"/>
  <c r="AR50"/>
  <c r="AQ50"/>
  <c r="AP50"/>
  <c r="AO50"/>
  <c r="AN50"/>
  <c r="AM50"/>
  <c r="AL50"/>
  <c r="AK50"/>
  <c r="AJ50"/>
  <c r="AI50"/>
  <c r="AH50"/>
  <c r="AG50"/>
  <c r="AF50"/>
  <c r="AE50"/>
  <c r="AD50"/>
  <c r="AC50"/>
  <c r="AB50"/>
  <c r="AA50"/>
  <c r="Z50"/>
  <c r="BJ49"/>
  <c r="BD49"/>
  <c r="X49"/>
  <c r="H49"/>
  <c r="G49" s="1"/>
  <c r="BJ48"/>
  <c r="BD48"/>
  <c r="X48"/>
  <c r="H48"/>
  <c r="G48" s="1"/>
  <c r="BJ47"/>
  <c r="BJ50" s="1"/>
  <c r="BD47"/>
  <c r="X47"/>
  <c r="H47"/>
  <c r="G47" s="1"/>
  <c r="BO45"/>
  <c r="BN45"/>
  <c r="BM45"/>
  <c r="BL45"/>
  <c r="BK45"/>
  <c r="BI45"/>
  <c r="BH45"/>
  <c r="BG45"/>
  <c r="BF45"/>
  <c r="AY45"/>
  <c r="AX45"/>
  <c r="AW45"/>
  <c r="AV45"/>
  <c r="AU45"/>
  <c r="AT45"/>
  <c r="AS45"/>
  <c r="AR45"/>
  <c r="AQ45"/>
  <c r="AP45"/>
  <c r="AO45"/>
  <c r="AN45"/>
  <c r="AM45"/>
  <c r="AL45"/>
  <c r="AK45"/>
  <c r="AJ45"/>
  <c r="AI45"/>
  <c r="AH45"/>
  <c r="AG45"/>
  <c r="AF45"/>
  <c r="AE45"/>
  <c r="BJ45"/>
  <c r="AY33"/>
  <c r="AX33"/>
  <c r="AW33"/>
  <c r="AV33"/>
  <c r="AU3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X32"/>
  <c r="X31"/>
  <c r="AY28"/>
  <c r="AX28"/>
  <c r="AW28"/>
  <c r="AV28"/>
  <c r="AU28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X27"/>
  <c r="X26"/>
  <c r="X25"/>
  <c r="H32"/>
  <c r="G32" s="1"/>
  <c r="H31"/>
  <c r="G31" s="1"/>
  <c r="H27"/>
  <c r="G27" s="1"/>
  <c r="H26"/>
  <c r="G26" s="1"/>
  <c r="H25"/>
  <c r="G25" s="1"/>
  <c r="H21"/>
  <c r="G21" s="1"/>
  <c r="H18"/>
  <c r="G18" s="1"/>
  <c r="H17"/>
  <c r="G17" s="1"/>
  <c r="X17"/>
  <c r="X18"/>
  <c r="X21"/>
  <c r="Z22"/>
  <c r="AA22"/>
  <c r="AB22"/>
  <c r="H11"/>
  <c r="G11" s="1"/>
  <c r="H14"/>
  <c r="G14" s="1"/>
  <c r="BD25"/>
  <c r="BJ25"/>
  <c r="BD26"/>
  <c r="BJ26"/>
  <c r="BD27"/>
  <c r="BJ27"/>
  <c r="BE28"/>
  <c r="BF28"/>
  <c r="BG28"/>
  <c r="BH28"/>
  <c r="BI28"/>
  <c r="BK28"/>
  <c r="BL28"/>
  <c r="BM28"/>
  <c r="BN28"/>
  <c r="BO28"/>
  <c r="BD31"/>
  <c r="BJ31"/>
  <c r="BD32"/>
  <c r="BJ32"/>
  <c r="BE33"/>
  <c r="BF33"/>
  <c r="BG33"/>
  <c r="BH33"/>
  <c r="BI33"/>
  <c r="BK33"/>
  <c r="BL33"/>
  <c r="BM33"/>
  <c r="BN33"/>
  <c r="BO33"/>
  <c r="BO22"/>
  <c r="BN22"/>
  <c r="BM22"/>
  <c r="BL22"/>
  <c r="BK22"/>
  <c r="BJ21"/>
  <c r="BJ18"/>
  <c r="BJ17"/>
  <c r="BO15"/>
  <c r="BN15"/>
  <c r="BM15"/>
  <c r="BL15"/>
  <c r="BK15"/>
  <c r="BJ14"/>
  <c r="BJ11"/>
  <c r="BJ10"/>
  <c r="BD21"/>
  <c r="BD18"/>
  <c r="BD17"/>
  <c r="BD14"/>
  <c r="BD10"/>
  <c r="AC22"/>
  <c r="AD22"/>
  <c r="AE22"/>
  <c r="AF22"/>
  <c r="AG22"/>
  <c r="AH22"/>
  <c r="AI22"/>
  <c r="AJ22"/>
  <c r="AK22"/>
  <c r="AL22"/>
  <c r="AM22"/>
  <c r="AN22"/>
  <c r="AN133" s="1"/>
  <c r="AO22"/>
  <c r="AP22"/>
  <c r="AQ22"/>
  <c r="AQ133" s="1"/>
  <c r="AR22"/>
  <c r="AS22"/>
  <c r="AT22"/>
  <c r="AT133" s="1"/>
  <c r="AU22"/>
  <c r="AV22"/>
  <c r="AW22"/>
  <c r="AW133" s="1"/>
  <c r="AX22"/>
  <c r="AY22"/>
  <c r="BE22"/>
  <c r="BF22"/>
  <c r="BG22"/>
  <c r="BH22"/>
  <c r="BI22"/>
  <c r="X14"/>
  <c r="X15" s="1"/>
  <c r="G64" i="3"/>
  <c r="U64" s="1"/>
  <c r="Z64" s="1"/>
  <c r="G65"/>
  <c r="U65" s="1"/>
  <c r="Z65" s="1"/>
  <c r="G66"/>
  <c r="U66" s="1"/>
  <c r="Z66" s="1"/>
  <c r="G67"/>
  <c r="U67" s="1"/>
  <c r="Z67" s="1"/>
  <c r="G68"/>
  <c r="U68" s="1"/>
  <c r="Z68" s="1"/>
  <c r="G76"/>
  <c r="U76" s="1"/>
  <c r="Z76" s="1"/>
  <c r="G79"/>
  <c r="G80"/>
  <c r="U80" s="1"/>
  <c r="Z80" s="1"/>
  <c r="G81"/>
  <c r="L81" s="1"/>
  <c r="G83"/>
  <c r="G84"/>
  <c r="U84" s="1"/>
  <c r="Z84" s="1"/>
  <c r="G85"/>
  <c r="U85" s="1"/>
  <c r="Z85" s="1"/>
  <c r="G90"/>
  <c r="L90" s="1"/>
  <c r="G92"/>
  <c r="G93"/>
  <c r="U93" s="1"/>
  <c r="Z93" s="1"/>
  <c r="G94"/>
  <c r="L94" s="1"/>
  <c r="G96"/>
  <c r="G97"/>
  <c r="U97" s="1"/>
  <c r="Z97" s="1"/>
  <c r="G98"/>
  <c r="U98" s="1"/>
  <c r="Z98" s="1"/>
  <c r="G103"/>
  <c r="U103" s="1"/>
  <c r="Z103" s="1"/>
  <c r="G104"/>
  <c r="G106"/>
  <c r="U106" s="1"/>
  <c r="Z106" s="1"/>
  <c r="G59"/>
  <c r="U59" s="1"/>
  <c r="Z59" s="1"/>
  <c r="U60"/>
  <c r="Z60" s="1"/>
  <c r="U61"/>
  <c r="Z61" s="1"/>
  <c r="G63"/>
  <c r="U63" s="1"/>
  <c r="Z63" s="1"/>
  <c r="G55"/>
  <c r="U55" s="1"/>
  <c r="Z55" s="1"/>
  <c r="G56"/>
  <c r="L56" s="1"/>
  <c r="L57" s="1"/>
  <c r="G58"/>
  <c r="U58" s="1"/>
  <c r="Z58" s="1"/>
  <c r="G52"/>
  <c r="G54"/>
  <c r="U54" s="1"/>
  <c r="Z54" s="1"/>
  <c r="G50"/>
  <c r="U50" s="1"/>
  <c r="Z50" s="1"/>
  <c r="G51"/>
  <c r="U51" s="1"/>
  <c r="Z51" s="1"/>
  <c r="G48"/>
  <c r="G44"/>
  <c r="U44" s="1"/>
  <c r="Z44" s="1"/>
  <c r="G42"/>
  <c r="U42" s="1"/>
  <c r="Z42" s="1"/>
  <c r="G40"/>
  <c r="U40" s="1"/>
  <c r="Z40" s="1"/>
  <c r="Z38"/>
  <c r="G18" i="7"/>
  <c r="U35" i="3"/>
  <c r="Z35" s="1"/>
  <c r="V29"/>
  <c r="AA29" s="1"/>
  <c r="Y29"/>
  <c r="AD29" s="1"/>
  <c r="U27"/>
  <c r="Z27" s="1"/>
  <c r="Y20"/>
  <c r="AD20" s="1"/>
  <c r="V21"/>
  <c r="AA21" s="1"/>
  <c r="Y21"/>
  <c r="AD21" s="1"/>
  <c r="U23"/>
  <c r="Z23" s="1"/>
  <c r="F21" i="5" l="1"/>
  <c r="G21"/>
  <c r="F72" i="7"/>
  <c r="X22" i="4"/>
  <c r="X33"/>
  <c r="BJ33"/>
  <c r="M56" i="3"/>
  <c r="M57" s="1"/>
  <c r="V56"/>
  <c r="AA56" s="1"/>
  <c r="M94"/>
  <c r="V94"/>
  <c r="AA94" s="1"/>
  <c r="L95"/>
  <c r="V95" s="1"/>
  <c r="AA95" s="1"/>
  <c r="U92"/>
  <c r="Z92" s="1"/>
  <c r="L92"/>
  <c r="U83"/>
  <c r="Z83" s="1"/>
  <c r="L83"/>
  <c r="X78"/>
  <c r="AC78" s="1"/>
  <c r="Y77"/>
  <c r="AD77" s="1"/>
  <c r="O78"/>
  <c r="U24"/>
  <c r="Z24" s="1"/>
  <c r="U36"/>
  <c r="Z36" s="1"/>
  <c r="U96"/>
  <c r="Z96" s="1"/>
  <c r="L96"/>
  <c r="M90"/>
  <c r="V90"/>
  <c r="AA90" s="1"/>
  <c r="L91"/>
  <c r="L86"/>
  <c r="V86" s="1"/>
  <c r="AA86" s="1"/>
  <c r="M81"/>
  <c r="V81"/>
  <c r="AA81" s="1"/>
  <c r="L82"/>
  <c r="L73"/>
  <c r="U79"/>
  <c r="Z79" s="1"/>
  <c r="L79"/>
  <c r="BN130" i="4"/>
  <c r="G86" i="3"/>
  <c r="BD22" i="4"/>
  <c r="BD45"/>
  <c r="D62" i="7"/>
  <c r="D63"/>
  <c r="D64"/>
  <c r="G41" i="3"/>
  <c r="U41" s="1"/>
  <c r="Z41" s="1"/>
  <c r="U22"/>
  <c r="Z22" s="1"/>
  <c r="G43"/>
  <c r="U43" s="1"/>
  <c r="Z43" s="1"/>
  <c r="U26"/>
  <c r="Z26" s="1"/>
  <c r="U16"/>
  <c r="Z16" s="1"/>
  <c r="U33"/>
  <c r="Z33" s="1"/>
  <c r="U14"/>
  <c r="Z14" s="1"/>
  <c r="U25"/>
  <c r="Z25" s="1"/>
  <c r="G49"/>
  <c r="U49" s="1"/>
  <c r="Z49" s="1"/>
  <c r="U48"/>
  <c r="Z48" s="1"/>
  <c r="G53"/>
  <c r="U53" s="1"/>
  <c r="Z53" s="1"/>
  <c r="U52"/>
  <c r="Z52" s="1"/>
  <c r="U57"/>
  <c r="Z57" s="1"/>
  <c r="U56"/>
  <c r="Z56" s="1"/>
  <c r="G95"/>
  <c r="U95" s="1"/>
  <c r="Z95" s="1"/>
  <c r="U94"/>
  <c r="Z94" s="1"/>
  <c r="G45"/>
  <c r="U45" s="1"/>
  <c r="Z45" s="1"/>
  <c r="U30"/>
  <c r="Z30" s="1"/>
  <c r="G35" i="7"/>
  <c r="G57" s="1"/>
  <c r="U34" i="3"/>
  <c r="Z34" s="1"/>
  <c r="U17"/>
  <c r="Z17" s="1"/>
  <c r="U37"/>
  <c r="Z37" s="1"/>
  <c r="U15"/>
  <c r="Z15" s="1"/>
  <c r="U29"/>
  <c r="Z29" s="1"/>
  <c r="G105"/>
  <c r="U105" s="1"/>
  <c r="Z105" s="1"/>
  <c r="U104"/>
  <c r="Z104" s="1"/>
  <c r="G91"/>
  <c r="U91" s="1"/>
  <c r="Z91" s="1"/>
  <c r="U90"/>
  <c r="Z90" s="1"/>
  <c r="G82"/>
  <c r="U82" s="1"/>
  <c r="Z82" s="1"/>
  <c r="U81"/>
  <c r="Z81" s="1"/>
  <c r="BJ15" i="4"/>
  <c r="BJ60"/>
  <c r="BJ96"/>
  <c r="BL130"/>
  <c r="BJ55"/>
  <c r="BD91"/>
  <c r="BH124"/>
  <c r="BH128" s="1"/>
  <c r="BM130"/>
  <c r="BK130"/>
  <c r="BO130"/>
  <c r="F64" i="7"/>
  <c r="F62"/>
  <c r="X21" i="3"/>
  <c r="AC21" s="1"/>
  <c r="X29"/>
  <c r="AC29" s="1"/>
  <c r="W20"/>
  <c r="AB20" s="1"/>
  <c r="W21"/>
  <c r="AB21" s="1"/>
  <c r="W29"/>
  <c r="AB29" s="1"/>
  <c r="X20"/>
  <c r="AC20" s="1"/>
  <c r="G100"/>
  <c r="U100" s="1"/>
  <c r="Z100" s="1"/>
  <c r="G46"/>
  <c r="G29" i="7"/>
  <c r="G19"/>
  <c r="G88" i="3"/>
  <c r="U88" s="1"/>
  <c r="Z88" s="1"/>
  <c r="G75"/>
  <c r="BJ91" i="4"/>
  <c r="BJ101"/>
  <c r="G32" i="7"/>
  <c r="G53" s="1"/>
  <c r="G22"/>
  <c r="U86" i="3"/>
  <c r="Z86" s="1"/>
  <c r="BD50" i="4"/>
  <c r="BD60"/>
  <c r="BD70"/>
  <c r="BD81"/>
  <c r="BD101"/>
  <c r="BJ111"/>
  <c r="BJ115" s="1"/>
  <c r="BJ124"/>
  <c r="BJ128" s="1"/>
  <c r="G26" i="7"/>
  <c r="G45" s="1"/>
  <c r="G41" s="1"/>
  <c r="G21"/>
  <c r="U21" i="3"/>
  <c r="Z21" s="1"/>
  <c r="G17" i="7"/>
  <c r="G99" i="3"/>
  <c r="U99" s="1"/>
  <c r="Z99" s="1"/>
  <c r="G73"/>
  <c r="U73" s="1"/>
  <c r="Z73" s="1"/>
  <c r="G20" i="7"/>
  <c r="BJ22" i="4"/>
  <c r="BD55"/>
  <c r="BD65"/>
  <c r="BD76"/>
  <c r="BD86"/>
  <c r="BD96"/>
  <c r="BD107"/>
  <c r="BD111" s="1"/>
  <c r="BD115" s="1"/>
  <c r="BD120"/>
  <c r="BD124" s="1"/>
  <c r="BD128" s="1"/>
  <c r="BD28"/>
  <c r="BD33"/>
  <c r="BJ28"/>
  <c r="G25" i="5" l="1"/>
  <c r="Y132" i="4"/>
  <c r="X130"/>
  <c r="V82" i="3"/>
  <c r="AA82" s="1"/>
  <c r="L74"/>
  <c r="N81"/>
  <c r="W81"/>
  <c r="AB81" s="1"/>
  <c r="M82"/>
  <c r="M73"/>
  <c r="V91"/>
  <c r="AA91" s="1"/>
  <c r="L87"/>
  <c r="V87" s="1"/>
  <c r="AA87" s="1"/>
  <c r="N90"/>
  <c r="W90"/>
  <c r="AB90" s="1"/>
  <c r="M91"/>
  <c r="M86"/>
  <c r="W86" s="1"/>
  <c r="AB86" s="1"/>
  <c r="W37"/>
  <c r="AB37" s="1"/>
  <c r="W17"/>
  <c r="AB17" s="1"/>
  <c r="I22" i="7"/>
  <c r="X37" i="3"/>
  <c r="AC37" s="1"/>
  <c r="X17"/>
  <c r="AC17" s="1"/>
  <c r="J22" i="7"/>
  <c r="W34" i="3"/>
  <c r="AB34" s="1"/>
  <c r="W36"/>
  <c r="AB36" s="1"/>
  <c r="I35" i="7"/>
  <c r="I57" s="1"/>
  <c r="I58" s="1"/>
  <c r="V34" i="3"/>
  <c r="AA34" s="1"/>
  <c r="V36"/>
  <c r="AA36" s="1"/>
  <c r="H35" i="7"/>
  <c r="H57" s="1"/>
  <c r="H58" s="1"/>
  <c r="N41" i="3"/>
  <c r="X41" s="1"/>
  <c r="AC41" s="1"/>
  <c r="X22"/>
  <c r="AC22" s="1"/>
  <c r="X24"/>
  <c r="AC24" s="1"/>
  <c r="J26" i="7"/>
  <c r="J45" s="1"/>
  <c r="L41" i="3"/>
  <c r="V41" s="1"/>
  <c r="AA41" s="1"/>
  <c r="V22"/>
  <c r="AA22" s="1"/>
  <c r="V24"/>
  <c r="AA24" s="1"/>
  <c r="H26" i="7"/>
  <c r="H45" s="1"/>
  <c r="Y78" i="3"/>
  <c r="AD78" s="1"/>
  <c r="M83"/>
  <c r="V83"/>
  <c r="AA83" s="1"/>
  <c r="M92"/>
  <c r="V92"/>
  <c r="AA92" s="1"/>
  <c r="L88"/>
  <c r="V88" s="1"/>
  <c r="AA88" s="1"/>
  <c r="N94"/>
  <c r="W94"/>
  <c r="AB94" s="1"/>
  <c r="M95"/>
  <c r="W95" s="1"/>
  <c r="AB95" s="1"/>
  <c r="V25"/>
  <c r="AA25" s="1"/>
  <c r="V14"/>
  <c r="AA14" s="1"/>
  <c r="H19" i="7"/>
  <c r="Y25" i="3"/>
  <c r="AD25" s="1"/>
  <c r="Y14"/>
  <c r="AD14" s="1"/>
  <c r="K19" i="7"/>
  <c r="W33" i="3"/>
  <c r="AB33" s="1"/>
  <c r="W16"/>
  <c r="AB16" s="1"/>
  <c r="I21" i="7"/>
  <c r="X33" i="3"/>
  <c r="AC33" s="1"/>
  <c r="X16"/>
  <c r="AC16" s="1"/>
  <c r="J21" i="7"/>
  <c r="X31" i="3"/>
  <c r="AC31" s="1"/>
  <c r="N45"/>
  <c r="X45" s="1"/>
  <c r="AC45" s="1"/>
  <c r="X30"/>
  <c r="AC30" s="1"/>
  <c r="J32" i="7"/>
  <c r="J53" s="1"/>
  <c r="W31" i="3"/>
  <c r="AB31" s="1"/>
  <c r="M45"/>
  <c r="W45" s="1"/>
  <c r="AB45" s="1"/>
  <c r="W30"/>
  <c r="AB30" s="1"/>
  <c r="I32" i="7"/>
  <c r="I53" s="1"/>
  <c r="M79" i="3"/>
  <c r="V79"/>
  <c r="AA79" s="1"/>
  <c r="L75"/>
  <c r="V73"/>
  <c r="AA73" s="1"/>
  <c r="L70"/>
  <c r="V70" s="1"/>
  <c r="AA70" s="1"/>
  <c r="M96"/>
  <c r="V96"/>
  <c r="AA96" s="1"/>
  <c r="V37"/>
  <c r="AA37" s="1"/>
  <c r="V17"/>
  <c r="AA17" s="1"/>
  <c r="H22" i="7"/>
  <c r="Y37" i="3"/>
  <c r="AD37" s="1"/>
  <c r="Y17"/>
  <c r="AD17" s="1"/>
  <c r="K22" i="7"/>
  <c r="X34" i="3"/>
  <c r="AC34" s="1"/>
  <c r="X36"/>
  <c r="AC36" s="1"/>
  <c r="J35" i="7"/>
  <c r="J57" s="1"/>
  <c r="J58" s="1"/>
  <c r="Y34" i="3"/>
  <c r="AD34" s="1"/>
  <c r="Y36"/>
  <c r="AD36" s="1"/>
  <c r="K35" i="7"/>
  <c r="K57" s="1"/>
  <c r="K58" s="1"/>
  <c r="M41" i="3"/>
  <c r="W41" s="1"/>
  <c r="AB41" s="1"/>
  <c r="W22"/>
  <c r="AB22" s="1"/>
  <c r="W24"/>
  <c r="AB24" s="1"/>
  <c r="I26" i="7"/>
  <c r="I45" s="1"/>
  <c r="O41" i="3"/>
  <c r="Y41" s="1"/>
  <c r="AD41" s="1"/>
  <c r="Y22"/>
  <c r="AD22" s="1"/>
  <c r="Y24"/>
  <c r="AD24" s="1"/>
  <c r="K26" i="7"/>
  <c r="K45" s="1"/>
  <c r="V57" i="3"/>
  <c r="AA57" s="1"/>
  <c r="L47"/>
  <c r="N56"/>
  <c r="N57" s="1"/>
  <c r="W56"/>
  <c r="AB56" s="1"/>
  <c r="W25"/>
  <c r="AB25" s="1"/>
  <c r="W14"/>
  <c r="AB14" s="1"/>
  <c r="I19" i="7"/>
  <c r="X25" i="3"/>
  <c r="AC25" s="1"/>
  <c r="X14"/>
  <c r="AC14" s="1"/>
  <c r="J19" i="7"/>
  <c r="V33" i="3"/>
  <c r="AA33" s="1"/>
  <c r="V16"/>
  <c r="AA16" s="1"/>
  <c r="H21" i="7"/>
  <c r="Y33" i="3"/>
  <c r="AD33" s="1"/>
  <c r="Y16"/>
  <c r="AD16" s="1"/>
  <c r="K21" i="7"/>
  <c r="Y31" i="3"/>
  <c r="AD31" s="1"/>
  <c r="O45"/>
  <c r="Y45" s="1"/>
  <c r="AD45" s="1"/>
  <c r="Y30"/>
  <c r="AD30" s="1"/>
  <c r="K32" i="7"/>
  <c r="K53" s="1"/>
  <c r="V31" i="3"/>
  <c r="AA31" s="1"/>
  <c r="L45"/>
  <c r="V45" s="1"/>
  <c r="AA45" s="1"/>
  <c r="V30"/>
  <c r="AA30" s="1"/>
  <c r="H32" i="7"/>
  <c r="H53" s="1"/>
  <c r="G74" i="3"/>
  <c r="U74" s="1"/>
  <c r="Z74" s="1"/>
  <c r="U75"/>
  <c r="Z75" s="1"/>
  <c r="G72"/>
  <c r="G87"/>
  <c r="U87" s="1"/>
  <c r="Z87" s="1"/>
  <c r="BJ130" i="4"/>
  <c r="G47" i="3"/>
  <c r="U47" s="1"/>
  <c r="Z47" s="1"/>
  <c r="U46"/>
  <c r="Z46" s="1"/>
  <c r="G70"/>
  <c r="G37" i="7"/>
  <c r="G28"/>
  <c r="G47"/>
  <c r="G34"/>
  <c r="G52"/>
  <c r="G69"/>
  <c r="G72" s="1"/>
  <c r="G31"/>
  <c r="G51"/>
  <c r="G43"/>
  <c r="G48"/>
  <c r="G65"/>
  <c r="G67" s="1"/>
  <c r="K41" l="1"/>
  <c r="K46"/>
  <c r="I41"/>
  <c r="I46"/>
  <c r="H41"/>
  <c r="H46"/>
  <c r="J41"/>
  <c r="J46"/>
  <c r="Y35" i="3"/>
  <c r="AD35" s="1"/>
  <c r="X35"/>
  <c r="AC35" s="1"/>
  <c r="V35"/>
  <c r="AA35" s="1"/>
  <c r="W35"/>
  <c r="AB35" s="1"/>
  <c r="G71" i="7"/>
  <c r="U70" i="3"/>
  <c r="Z70" s="1"/>
  <c r="H34" i="7"/>
  <c r="H55"/>
  <c r="I28"/>
  <c r="I47"/>
  <c r="V47" i="3"/>
  <c r="AA47" s="1"/>
  <c r="L33" i="1"/>
  <c r="K48" i="7"/>
  <c r="K27"/>
  <c r="K65"/>
  <c r="K66" s="1"/>
  <c r="Y23" i="3"/>
  <c r="AD23" s="1"/>
  <c r="K77" i="7"/>
  <c r="K78" s="1"/>
  <c r="K60"/>
  <c r="K36"/>
  <c r="J77"/>
  <c r="J78" s="1"/>
  <c r="J36"/>
  <c r="J60"/>
  <c r="K59"/>
  <c r="K37"/>
  <c r="V75" i="3"/>
  <c r="AA75" s="1"/>
  <c r="L72"/>
  <c r="N79"/>
  <c r="W79"/>
  <c r="AB79" s="1"/>
  <c r="M75"/>
  <c r="I55" i="7"/>
  <c r="I34"/>
  <c r="H47"/>
  <c r="H28"/>
  <c r="N92" i="3"/>
  <c r="W92"/>
  <c r="AB92" s="1"/>
  <c r="M88"/>
  <c r="W88" s="1"/>
  <c r="AB88" s="1"/>
  <c r="N83"/>
  <c r="W83"/>
  <c r="AB83" s="1"/>
  <c r="J65" i="7"/>
  <c r="J68" s="1"/>
  <c r="J27"/>
  <c r="J48"/>
  <c r="X23" i="3"/>
  <c r="AC23" s="1"/>
  <c r="I59" i="7"/>
  <c r="I37"/>
  <c r="W91" i="3"/>
  <c r="AB91" s="1"/>
  <c r="M87"/>
  <c r="W87" s="1"/>
  <c r="AB87" s="1"/>
  <c r="O90"/>
  <c r="X90"/>
  <c r="AC90" s="1"/>
  <c r="N91"/>
  <c r="N86"/>
  <c r="X86" s="1"/>
  <c r="AC86" s="1"/>
  <c r="W82"/>
  <c r="AB82" s="1"/>
  <c r="M74"/>
  <c r="O81"/>
  <c r="X81"/>
  <c r="AC81" s="1"/>
  <c r="N82"/>
  <c r="N73"/>
  <c r="H73" i="7"/>
  <c r="H75" s="1"/>
  <c r="H56"/>
  <c r="K73"/>
  <c r="K76" s="1"/>
  <c r="K56"/>
  <c r="K34"/>
  <c r="K55"/>
  <c r="J28"/>
  <c r="J47"/>
  <c r="M47" i="3"/>
  <c r="W57"/>
  <c r="AB57" s="1"/>
  <c r="O56"/>
  <c r="O57" s="1"/>
  <c r="X56"/>
  <c r="AC56" s="1"/>
  <c r="I27" i="7"/>
  <c r="I65"/>
  <c r="I68" s="1"/>
  <c r="I48"/>
  <c r="W23" i="3"/>
  <c r="AB23" s="1"/>
  <c r="H59" i="7"/>
  <c r="H37"/>
  <c r="N96" i="3"/>
  <c r="W96"/>
  <c r="AB96" s="1"/>
  <c r="I73" i="7"/>
  <c r="I75" s="1"/>
  <c r="I56"/>
  <c r="J73"/>
  <c r="J76" s="1"/>
  <c r="J56"/>
  <c r="J34"/>
  <c r="J55"/>
  <c r="K47"/>
  <c r="K28"/>
  <c r="O94" i="3"/>
  <c r="X94"/>
  <c r="AC94" s="1"/>
  <c r="N95"/>
  <c r="X95" s="1"/>
  <c r="AC95" s="1"/>
  <c r="H27" i="7"/>
  <c r="H48"/>
  <c r="H65"/>
  <c r="V23" i="3"/>
  <c r="AA23" s="1"/>
  <c r="H77" i="7"/>
  <c r="H78" s="1"/>
  <c r="H36"/>
  <c r="H60"/>
  <c r="I77"/>
  <c r="I78" s="1"/>
  <c r="I36"/>
  <c r="I60"/>
  <c r="J37"/>
  <c r="J59"/>
  <c r="W73" i="3"/>
  <c r="AB73" s="1"/>
  <c r="M70"/>
  <c r="W70" s="1"/>
  <c r="AB70" s="1"/>
  <c r="V74"/>
  <c r="AA74" s="1"/>
  <c r="L71"/>
  <c r="G71"/>
  <c r="N32" i="1" s="1"/>
  <c r="G68" i="7"/>
  <c r="L32" i="1"/>
  <c r="V10" i="3"/>
  <c r="AA10" s="1"/>
  <c r="H10" i="7"/>
  <c r="U72" i="3"/>
  <c r="Z72" s="1"/>
  <c r="O32" i="1"/>
  <c r="U28" i="3"/>
  <c r="Z28" s="1"/>
  <c r="U9"/>
  <c r="Z9" s="1"/>
  <c r="U32"/>
  <c r="Z32" s="1"/>
  <c r="U10"/>
  <c r="Z10" s="1"/>
  <c r="G8" i="7"/>
  <c r="U39" i="3"/>
  <c r="Z39" s="1"/>
  <c r="G23" i="7"/>
  <c r="Z20" i="3"/>
  <c r="G9" i="7"/>
  <c r="G10"/>
  <c r="G11"/>
  <c r="J43" l="1"/>
  <c r="J42"/>
  <c r="J61"/>
  <c r="J44"/>
  <c r="H61"/>
  <c r="H44"/>
  <c r="H43"/>
  <c r="H42"/>
  <c r="I43"/>
  <c r="I61"/>
  <c r="I44"/>
  <c r="I42"/>
  <c r="K42"/>
  <c r="K43"/>
  <c r="K61"/>
  <c r="K44"/>
  <c r="G61"/>
  <c r="M23"/>
  <c r="J79"/>
  <c r="K67"/>
  <c r="I76"/>
  <c r="K79"/>
  <c r="K80"/>
  <c r="H76"/>
  <c r="V32" i="3"/>
  <c r="AA32" s="1"/>
  <c r="K68" i="7"/>
  <c r="K75"/>
  <c r="J80"/>
  <c r="V71" i="3"/>
  <c r="AA71" s="1"/>
  <c r="N33" i="1"/>
  <c r="V19" i="3"/>
  <c r="AA19" s="1"/>
  <c r="K33" i="1"/>
  <c r="H67" i="7"/>
  <c r="H66"/>
  <c r="W19" i="3"/>
  <c r="AB19" s="1"/>
  <c r="K34" i="1"/>
  <c r="Y10" i="3"/>
  <c r="AD10" s="1"/>
  <c r="K10" i="7"/>
  <c r="X82" i="3"/>
  <c r="AC82" s="1"/>
  <c r="N74"/>
  <c r="Y81"/>
  <c r="AD81" s="1"/>
  <c r="O82"/>
  <c r="O73"/>
  <c r="X91"/>
  <c r="AC91" s="1"/>
  <c r="N87"/>
  <c r="X87" s="1"/>
  <c r="AC87" s="1"/>
  <c r="Y90"/>
  <c r="AD90" s="1"/>
  <c r="O91"/>
  <c r="O86"/>
  <c r="Y86" s="1"/>
  <c r="AD86" s="1"/>
  <c r="O92"/>
  <c r="X92"/>
  <c r="AC92" s="1"/>
  <c r="N88"/>
  <c r="X88" s="1"/>
  <c r="AC88" s="1"/>
  <c r="W75"/>
  <c r="AB75" s="1"/>
  <c r="M72"/>
  <c r="O79"/>
  <c r="X79"/>
  <c r="AC79" s="1"/>
  <c r="N75"/>
  <c r="Y94"/>
  <c r="AD94" s="1"/>
  <c r="O95"/>
  <c r="Y95" s="1"/>
  <c r="AD95" s="1"/>
  <c r="O96"/>
  <c r="Y96" s="1"/>
  <c r="AD96" s="1"/>
  <c r="X96"/>
  <c r="AC96" s="1"/>
  <c r="I67" i="7"/>
  <c r="I66"/>
  <c r="X57" i="3"/>
  <c r="AC57" s="1"/>
  <c r="N47"/>
  <c r="Y56"/>
  <c r="AD56" s="1"/>
  <c r="W47"/>
  <c r="AB47" s="1"/>
  <c r="L34" i="1"/>
  <c r="W10" i="3"/>
  <c r="AB10" s="1"/>
  <c r="I10" i="7"/>
  <c r="X10" i="3"/>
  <c r="AC10" s="1"/>
  <c r="J10" i="7"/>
  <c r="X73" i="3"/>
  <c r="AC73" s="1"/>
  <c r="N70"/>
  <c r="X70" s="1"/>
  <c r="AC70" s="1"/>
  <c r="W74"/>
  <c r="AB74" s="1"/>
  <c r="M71"/>
  <c r="X19"/>
  <c r="AC19" s="1"/>
  <c r="K35" i="1"/>
  <c r="J67" i="7"/>
  <c r="J66"/>
  <c r="O83" i="3"/>
  <c r="Y83" s="1"/>
  <c r="AD83" s="1"/>
  <c r="X83"/>
  <c r="AC83" s="1"/>
  <c r="V72"/>
  <c r="AA72" s="1"/>
  <c r="O33" i="1"/>
  <c r="Y19" i="3"/>
  <c r="AD19" s="1"/>
  <c r="K36" i="1"/>
  <c r="H62" i="3"/>
  <c r="I80" i="7"/>
  <c r="H80"/>
  <c r="H68"/>
  <c r="J75"/>
  <c r="H79"/>
  <c r="I79"/>
  <c r="U71" i="3"/>
  <c r="Z71" s="1"/>
  <c r="H33" i="7"/>
  <c r="H74"/>
  <c r="H54"/>
  <c r="I32" i="1"/>
  <c r="I37" s="1"/>
  <c r="G25" i="7"/>
  <c r="G36"/>
  <c r="G70"/>
  <c r="G50"/>
  <c r="G30"/>
  <c r="G63"/>
  <c r="G44"/>
  <c r="G33"/>
  <c r="G42"/>
  <c r="G24"/>
  <c r="J32" i="1" s="1"/>
  <c r="G66" i="7"/>
  <c r="G46"/>
  <c r="G27"/>
  <c r="AG21" i="5"/>
  <c r="AF21"/>
  <c r="AD21"/>
  <c r="AC21"/>
  <c r="AA21"/>
  <c r="Z21"/>
  <c r="X21"/>
  <c r="W21"/>
  <c r="U21"/>
  <c r="T21"/>
  <c r="R21"/>
  <c r="Q21"/>
  <c r="O21"/>
  <c r="N21"/>
  <c r="L21"/>
  <c r="K21"/>
  <c r="I21"/>
  <c r="BI15" i="4"/>
  <c r="BI130" s="1"/>
  <c r="C36" i="1" s="1"/>
  <c r="BH15" i="4"/>
  <c r="BH130" s="1"/>
  <c r="C35" i="1" s="1"/>
  <c r="BG15" i="4"/>
  <c r="BG130" s="1"/>
  <c r="C34" i="1" s="1"/>
  <c r="BF15" i="4"/>
  <c r="Z15"/>
  <c r="Z130" s="1"/>
  <c r="AA15"/>
  <c r="AA130" s="1"/>
  <c r="AB15"/>
  <c r="AB130" s="1"/>
  <c r="AC15"/>
  <c r="AC130" s="1"/>
  <c r="AD15"/>
  <c r="AD130" s="1"/>
  <c r="AE15"/>
  <c r="AE130" s="1"/>
  <c r="AF15"/>
  <c r="AF130" s="1"/>
  <c r="AG15"/>
  <c r="AG130" s="1"/>
  <c r="AH15"/>
  <c r="AH130" s="1"/>
  <c r="AI15"/>
  <c r="AI130" s="1"/>
  <c r="AJ15"/>
  <c r="AJ130" s="1"/>
  <c r="AK15"/>
  <c r="AK130" s="1"/>
  <c r="AL15"/>
  <c r="AL130" s="1"/>
  <c r="AM15"/>
  <c r="AM130" s="1"/>
  <c r="AN15"/>
  <c r="AN130" s="1"/>
  <c r="V25" i="5" s="1"/>
  <c r="AO15" i="4"/>
  <c r="AO130" s="1"/>
  <c r="AP15"/>
  <c r="AP130" s="1"/>
  <c r="AQ15"/>
  <c r="AQ130" s="1"/>
  <c r="Y25" i="5" s="1"/>
  <c r="AR15" i="4"/>
  <c r="AR130" s="1"/>
  <c r="AS15"/>
  <c r="AS130" s="1"/>
  <c r="AT15"/>
  <c r="AT130" s="1"/>
  <c r="AB25" i="5" s="1"/>
  <c r="AU15" i="4"/>
  <c r="AU130" s="1"/>
  <c r="AV15"/>
  <c r="AV130" s="1"/>
  <c r="AW15"/>
  <c r="AW130" s="1"/>
  <c r="AE25" i="5" s="1"/>
  <c r="AX15" i="4"/>
  <c r="AX130" s="1"/>
  <c r="AY15"/>
  <c r="AY130" s="1"/>
  <c r="BF130" l="1"/>
  <c r="C33" i="1" s="1"/>
  <c r="BD15" i="4"/>
  <c r="K62" i="7"/>
  <c r="K63"/>
  <c r="K64"/>
  <c r="H63"/>
  <c r="H64"/>
  <c r="H62"/>
  <c r="J62"/>
  <c r="J63"/>
  <c r="J64"/>
  <c r="I63"/>
  <c r="I64"/>
  <c r="I62"/>
  <c r="W32" i="3"/>
  <c r="AB32" s="1"/>
  <c r="X32"/>
  <c r="AC32" s="1"/>
  <c r="Y32"/>
  <c r="AD32" s="1"/>
  <c r="U69"/>
  <c r="Z69" s="1"/>
  <c r="G62"/>
  <c r="W71"/>
  <c r="AB71" s="1"/>
  <c r="N34" i="1"/>
  <c r="J33" i="7"/>
  <c r="J74"/>
  <c r="J54"/>
  <c r="O47" i="3"/>
  <c r="Y57"/>
  <c r="AD57" s="1"/>
  <c r="X47"/>
  <c r="AC47" s="1"/>
  <c r="L35" i="1"/>
  <c r="X75" i="3"/>
  <c r="AC75" s="1"/>
  <c r="N72"/>
  <c r="Y79"/>
  <c r="AD79" s="1"/>
  <c r="O75"/>
  <c r="Y82"/>
  <c r="AD82" s="1"/>
  <c r="O74"/>
  <c r="X74"/>
  <c r="AC74" s="1"/>
  <c r="N71"/>
  <c r="K74" i="7"/>
  <c r="K33"/>
  <c r="K54"/>
  <c r="I33"/>
  <c r="I54"/>
  <c r="I74"/>
  <c r="W72" i="3"/>
  <c r="AB72" s="1"/>
  <c r="O34" i="1"/>
  <c r="Y92" i="3"/>
  <c r="AD92" s="1"/>
  <c r="O88"/>
  <c r="Y88" s="1"/>
  <c r="AD88" s="1"/>
  <c r="Y91"/>
  <c r="AD91" s="1"/>
  <c r="O87"/>
  <c r="Y87" s="1"/>
  <c r="AD87" s="1"/>
  <c r="Y73"/>
  <c r="AD73" s="1"/>
  <c r="O70"/>
  <c r="Y70" s="1"/>
  <c r="AD70" s="1"/>
  <c r="BE130" i="4"/>
  <c r="BD130"/>
  <c r="G62" i="7"/>
  <c r="G64"/>
  <c r="P33" i="1"/>
  <c r="P31"/>
  <c r="U31" i="3"/>
  <c r="Z31" s="1"/>
  <c r="C32" i="1" l="1"/>
  <c r="AJ17" i="5"/>
  <c r="AJ19" s="1"/>
  <c r="C37" i="1"/>
  <c r="AN15" i="5"/>
  <c r="AN16" s="1"/>
  <c r="P34" i="1"/>
  <c r="X71" i="3"/>
  <c r="AC71" s="1"/>
  <c r="N35" i="1"/>
  <c r="Y74" i="3"/>
  <c r="AD74" s="1"/>
  <c r="O71"/>
  <c r="Y75"/>
  <c r="AD75" s="1"/>
  <c r="O72"/>
  <c r="X72"/>
  <c r="AC72" s="1"/>
  <c r="O35" i="1"/>
  <c r="P35" s="1"/>
  <c r="Y47" i="3"/>
  <c r="AD47" s="1"/>
  <c r="L36" i="1"/>
  <c r="L37" s="1"/>
  <c r="U62" i="3"/>
  <c r="Z62" s="1"/>
  <c r="M32" i="1"/>
  <c r="M37" s="1"/>
  <c r="U19" i="3"/>
  <c r="Z19" s="1"/>
  <c r="K32" i="1"/>
  <c r="Y72" i="3" l="1"/>
  <c r="AD72" s="1"/>
  <c r="O36" i="1"/>
  <c r="P36" s="1"/>
  <c r="Y71" i="3"/>
  <c r="AD71" s="1"/>
  <c r="N36" i="1"/>
  <c r="N37" s="1"/>
  <c r="K37"/>
  <c r="P32"/>
  <c r="O37" l="1"/>
  <c r="P37" s="1"/>
  <c r="G73" i="7"/>
  <c r="G75" s="1"/>
  <c r="G54"/>
  <c r="G56"/>
  <c r="G55"/>
  <c r="G74" l="1"/>
  <c r="G76"/>
  <c r="G77"/>
  <c r="G79" s="1"/>
  <c r="G58"/>
  <c r="G60"/>
  <c r="G59"/>
  <c r="G80" l="1"/>
  <c r="G78"/>
  <c r="E65"/>
  <c r="E66" s="1"/>
  <c r="E46"/>
  <c r="E48"/>
  <c r="E47"/>
  <c r="E67" l="1"/>
  <c r="E68"/>
  <c r="E73"/>
  <c r="E75" s="1"/>
  <c r="E54"/>
  <c r="E56"/>
  <c r="E55"/>
  <c r="E74" l="1"/>
  <c r="E76"/>
  <c r="E60"/>
  <c r="E58"/>
  <c r="E77"/>
  <c r="E79" s="1"/>
  <c r="E59"/>
  <c r="E78" l="1"/>
  <c r="E80"/>
  <c r="D56"/>
  <c r="D54"/>
  <c r="D55"/>
  <c r="D73"/>
  <c r="D76" s="1"/>
  <c r="D75" l="1"/>
  <c r="D74"/>
  <c r="D77"/>
  <c r="D79" s="1"/>
  <c r="D58"/>
  <c r="D59"/>
  <c r="D60"/>
  <c r="D78" l="1"/>
  <c r="D80"/>
  <c r="D48"/>
  <c r="D46"/>
  <c r="D47"/>
  <c r="D65"/>
  <c r="D68" s="1"/>
  <c r="D66" l="1"/>
  <c r="D67"/>
  <c r="F54"/>
  <c r="F56"/>
  <c r="F73"/>
  <c r="F74" s="1"/>
  <c r="F55"/>
  <c r="F77"/>
  <c r="F78" s="1"/>
  <c r="F58"/>
  <c r="F60"/>
  <c r="F59"/>
  <c r="F75" l="1"/>
  <c r="F76"/>
  <c r="F80"/>
  <c r="F79"/>
  <c r="F46"/>
  <c r="F48"/>
  <c r="F65"/>
  <c r="F67" s="1"/>
  <c r="F47"/>
  <c r="F66" l="1"/>
  <c r="F68"/>
</calcChain>
</file>

<file path=xl/comments1.xml><?xml version="1.0" encoding="utf-8"?>
<comments xmlns="http://schemas.openxmlformats.org/spreadsheetml/2006/main">
  <authors>
    <author>barsukova</author>
  </authors>
  <commentList>
    <comment ref="B48" authorId="0">
      <text>
        <r>
          <rPr>
            <b/>
            <sz val="8"/>
            <color indexed="81"/>
            <rFont val="Tahoma"/>
            <charset val="1"/>
          </rPr>
          <t>barsukova:
при корректир. пересмотреть тариф на эл.эн</t>
        </r>
        <r>
          <rPr>
            <sz val="8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<sst xmlns="http://schemas.openxmlformats.org/spreadsheetml/2006/main" count="899" uniqueCount="398">
  <si>
    <t>(должность)</t>
  </si>
  <si>
    <t>(ФИО)</t>
  </si>
  <si>
    <t>Паспорт Программы</t>
  </si>
  <si>
    <t>ПРОГРАММА</t>
  </si>
  <si>
    <t>ЭНЕРГОСБЕРЕЖЕНИЯ И ПОВЫШЕНИЯ ЭНЕРГЕТИЧЕСКОЙ ЭФФЕКТИВНОСТИ</t>
  </si>
  <si>
    <t>Наименование Программы</t>
  </si>
  <si>
    <t xml:space="preserve">Основание для разработки Программы  </t>
  </si>
  <si>
    <t>Почтовый адрес</t>
  </si>
  <si>
    <t>Начало реализации Программы</t>
  </si>
  <si>
    <t>Конец реализации Программы</t>
  </si>
  <si>
    <t>км</t>
  </si>
  <si>
    <t>ВСЕГО</t>
  </si>
  <si>
    <t>шт.</t>
  </si>
  <si>
    <t>мВА</t>
  </si>
  <si>
    <t>Доля от общего полезного отпуска, %</t>
  </si>
  <si>
    <t>Электрифицированный ж/д транспорт</t>
  </si>
  <si>
    <t>Электрифицированный гор.транспорт</t>
  </si>
  <si>
    <t>Непромышленные потребители</t>
  </si>
  <si>
    <t>водоснабжение горячее</t>
  </si>
  <si>
    <t>водоснабжение холодное</t>
  </si>
  <si>
    <t>Количество единиц автотранспорта</t>
  </si>
  <si>
    <t>Количество единиц спецтехники</t>
  </si>
  <si>
    <t>№ п/п</t>
  </si>
  <si>
    <t>ед. изм.</t>
  </si>
  <si>
    <t>Показатели</t>
  </si>
  <si>
    <t>Объем электросетевого оборудования</t>
  </si>
  <si>
    <t>110 кВ и выше</t>
  </si>
  <si>
    <t>Количество трансформаторов (автотрансформаторов),всего, в том числе:</t>
  </si>
  <si>
    <t>Мощность трансформаторов (автотрансформаторов),всего, в том числе:</t>
  </si>
  <si>
    <t>Характеристика потребителей</t>
  </si>
  <si>
    <t>Промышленные и приравниные  к ним потребители с мощностью 750 кВА и выше</t>
  </si>
  <si>
    <t>Промышленные  и приравненные  к ним потребители с мощгостью до 750 кВА</t>
  </si>
  <si>
    <t>Население, всего, в том числе:</t>
  </si>
  <si>
    <t xml:space="preserve">   городское</t>
  </si>
  <si>
    <t xml:space="preserve">   сельское</t>
  </si>
  <si>
    <t>Число потребителей , шт.</t>
  </si>
  <si>
    <t>Автотранспорт и спецтехника</t>
  </si>
  <si>
    <r>
      <t>тыс. 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</si>
  <si>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r>
      <t>тыс. м</t>
    </r>
    <r>
      <rPr>
        <vertAlign val="superscript"/>
        <sz val="11"/>
        <color theme="1"/>
        <rFont val="Calibri"/>
        <family val="2"/>
        <charset val="204"/>
        <scheme val="minor"/>
      </rPr>
      <t>3</t>
    </r>
  </si>
  <si>
    <t>1.1.</t>
  </si>
  <si>
    <t>1.2.</t>
  </si>
  <si>
    <t>1.3.</t>
  </si>
  <si>
    <t>1.4.</t>
  </si>
  <si>
    <t>1.5.</t>
  </si>
  <si>
    <t>Отпуск электрической энергии (отпуск из сети)</t>
  </si>
  <si>
    <t>2.1.</t>
  </si>
  <si>
    <t>2.2.</t>
  </si>
  <si>
    <t>2.3.</t>
  </si>
  <si>
    <t>2.4.</t>
  </si>
  <si>
    <t>млн. руб. без НДС</t>
  </si>
  <si>
    <t>тыс. т у.т.</t>
  </si>
  <si>
    <t>Гкал</t>
  </si>
  <si>
    <t>не оснащено</t>
  </si>
  <si>
    <t>с нарушением требований нормативной технической документации</t>
  </si>
  <si>
    <t>Водоснабжение горячее</t>
  </si>
  <si>
    <t>Водоснабжение холодное</t>
  </si>
  <si>
    <t>4.1.</t>
  </si>
  <si>
    <t>3.1.</t>
  </si>
  <si>
    <t>4.2.</t>
  </si>
  <si>
    <t>Отклонение, ед.</t>
  </si>
  <si>
    <t>Отклонение, %</t>
  </si>
  <si>
    <t>Целевые показатели</t>
  </si>
  <si>
    <t>млн. кВт.ч</t>
  </si>
  <si>
    <t>ВН</t>
  </si>
  <si>
    <t>СНI</t>
  </si>
  <si>
    <t>СНII</t>
  </si>
  <si>
    <t>НН</t>
  </si>
  <si>
    <t>Отпуск электрической энергии в сеть (отпуск из сети), всего, в т.ч. по уровням напряжения:</t>
  </si>
  <si>
    <t>Потери электрической энергии</t>
  </si>
  <si>
    <t>Потери электрической энергии, всего, в т.ч. по уровням напряжения:</t>
  </si>
  <si>
    <t>% от п.1.1.</t>
  </si>
  <si>
    <t>% от п.1.2.</t>
  </si>
  <si>
    <t>% от п.1.3.</t>
  </si>
  <si>
    <t>% от п.1.4.</t>
  </si>
  <si>
    <t>% от п.1</t>
  </si>
  <si>
    <t>% от п.2</t>
  </si>
  <si>
    <t>3.3.</t>
  </si>
  <si>
    <t>3.4.</t>
  </si>
  <si>
    <t>3.2.</t>
  </si>
  <si>
    <t>Плановые значения целевых  показателей</t>
  </si>
  <si>
    <t>Фактические значения целевых  показателей</t>
  </si>
  <si>
    <t>4.3.</t>
  </si>
  <si>
    <t>4.4.</t>
  </si>
  <si>
    <t>5.1.</t>
  </si>
  <si>
    <t>5.2.</t>
  </si>
  <si>
    <t>5.3.</t>
  </si>
  <si>
    <t>5.4.</t>
  </si>
  <si>
    <t>Наименование мероприятия</t>
  </si>
  <si>
    <t>Плановые  численные значения экономии  в обозначенной размеренности</t>
  </si>
  <si>
    <t>Численное значение экономии в указанной размерности</t>
  </si>
  <si>
    <t>Численное значение экономии, т.у.т.</t>
  </si>
  <si>
    <t>Дисконтированный срок окупаемости, лет</t>
  </si>
  <si>
    <t>Организационные мероприятия</t>
  </si>
  <si>
    <t>ВНД, %</t>
  </si>
  <si>
    <t>ЧДД, млн. руб.</t>
  </si>
  <si>
    <t>…</t>
  </si>
  <si>
    <t>Технические мероприятия</t>
  </si>
  <si>
    <t>Электроэнергия</t>
  </si>
  <si>
    <t>Всего</t>
  </si>
  <si>
    <t>Техническое перевооружение и реконструкция и новое строительство</t>
  </si>
  <si>
    <t>Технологическое присоединение</t>
  </si>
  <si>
    <t xml:space="preserve">Информационные технологии </t>
  </si>
  <si>
    <t xml:space="preserve">Автоматизация технологического управления (кроме АСКУЭ) </t>
  </si>
  <si>
    <t>Программа развития средств учета и контроля электроэнергии</t>
  </si>
  <si>
    <t xml:space="preserve">Приобретение электросетевых активов, земельных участков и пр. объектов </t>
  </si>
  <si>
    <t>Прочие программы и мероприятия</t>
  </si>
  <si>
    <t>1.6.</t>
  </si>
  <si>
    <t>Укрупненные показатели</t>
  </si>
  <si>
    <t>год</t>
  </si>
  <si>
    <t>% от отпуска в сеть (отпуска из сети)</t>
  </si>
  <si>
    <t>СОГЛАСОВАНО:</t>
  </si>
  <si>
    <t>% от затрат на инвестиционную программу</t>
  </si>
  <si>
    <t>Базовый год (2013)</t>
  </si>
  <si>
    <t>Энергетические ресурсы</t>
  </si>
  <si>
    <t>план</t>
  </si>
  <si>
    <t>Расход на собственные нужды подстанций, всего, в т.ч. по уровням напряжения:</t>
  </si>
  <si>
    <t>1.3.1.</t>
  </si>
  <si>
    <t>1.3.2.</t>
  </si>
  <si>
    <t>2.1.1.</t>
  </si>
  <si>
    <t>2.1.2.</t>
  </si>
  <si>
    <t>2.1.3.</t>
  </si>
  <si>
    <t>2.1.4.</t>
  </si>
  <si>
    <t>2.1.5.</t>
  </si>
  <si>
    <t>2.1.6.</t>
  </si>
  <si>
    <t>2.2.1.</t>
  </si>
  <si>
    <t>2.2.2.</t>
  </si>
  <si>
    <t>2.2.3.</t>
  </si>
  <si>
    <t>2.2.4.</t>
  </si>
  <si>
    <t>2.2.5.</t>
  </si>
  <si>
    <t>2.2.6.</t>
  </si>
  <si>
    <t>2013 (базовый год)</t>
  </si>
  <si>
    <t>Доля затрат в инвестиционной программе, направленной на реализацию целевых мероприятий в области энергосбережения и повышения энергетической эффективности</t>
  </si>
  <si>
    <t>% от п.3.1.</t>
  </si>
  <si>
    <t>% от п.3.2.</t>
  </si>
  <si>
    <t>% от п.3.3.</t>
  </si>
  <si>
    <t>% от п.3.4.</t>
  </si>
  <si>
    <t>% от п.4.</t>
  </si>
  <si>
    <t>% от п.4.1.</t>
  </si>
  <si>
    <t>% от п.4.2.</t>
  </si>
  <si>
    <t>% от п.4.3.</t>
  </si>
  <si>
    <t>6.1.</t>
  </si>
  <si>
    <t>6.2.</t>
  </si>
  <si>
    <t>6.3.</t>
  </si>
  <si>
    <t>6.4.</t>
  </si>
  <si>
    <t>Количество точек поставки энергетических ресурсов на хозяйственные нужды</t>
  </si>
  <si>
    <t>Уровень напряжения (ВН, СНI, СНII, НН)</t>
  </si>
  <si>
    <t>ВСЕГО по годам экономия в указанной размерности</t>
  </si>
  <si>
    <t>Потребление электрической энергии</t>
  </si>
  <si>
    <t>1.</t>
  </si>
  <si>
    <t>2.</t>
  </si>
  <si>
    <t>3.</t>
  </si>
  <si>
    <t>4.</t>
  </si>
  <si>
    <t>% от п.3</t>
  </si>
  <si>
    <t>% от п.1.1</t>
  </si>
  <si>
    <t>% от п.4.1</t>
  </si>
  <si>
    <t>% от п.1.2</t>
  </si>
  <si>
    <t>% от п.4.2</t>
  </si>
  <si>
    <t>% от п.1.3</t>
  </si>
  <si>
    <t>% от п.4.3</t>
  </si>
  <si>
    <t>% от п.1.4</t>
  </si>
  <si>
    <t>% от п.4.4</t>
  </si>
  <si>
    <t>% от п.5</t>
  </si>
  <si>
    <t>6.</t>
  </si>
  <si>
    <t>Технологические потери электрической энергии, в т.ч. по уровням напряжения:</t>
  </si>
  <si>
    <t>% от п.5.1</t>
  </si>
  <si>
    <t>% от п.5.2</t>
  </si>
  <si>
    <t>% от п.5.3</t>
  </si>
  <si>
    <t>Нетехнические потери электрической энергии (п.5 - п.6)</t>
  </si>
  <si>
    <t>7.1.</t>
  </si>
  <si>
    <t>7.2.</t>
  </si>
  <si>
    <t>7.3.</t>
  </si>
  <si>
    <t>7.4.</t>
  </si>
  <si>
    <t>операционные (OPEX)</t>
  </si>
  <si>
    <t>капитальные (инвестиционная программа - CAPEX)</t>
  </si>
  <si>
    <t>в т.ч.:</t>
  </si>
  <si>
    <t>в рамках инвестиционной программы</t>
  </si>
  <si>
    <t>тыс. т.у.т.               (за исключением воды)</t>
  </si>
  <si>
    <t>Расход на хозяйственные нужды</t>
  </si>
  <si>
    <t>0,4 кВ, в т.ч.:</t>
  </si>
  <si>
    <t xml:space="preserve">с самонесущим изолированным проводом </t>
  </si>
  <si>
    <t>Производодственные с/х потребители</t>
  </si>
  <si>
    <t>`</t>
  </si>
  <si>
    <t>Общий объем зданий, в т.ч.:</t>
  </si>
  <si>
    <t>оснащено, в т.ч.:</t>
  </si>
  <si>
    <t>системами АИИС КУЭ, интеллектульного учета, т.ч.:</t>
  </si>
  <si>
    <t>по уровню СНII</t>
  </si>
  <si>
    <t>по уровню НН</t>
  </si>
  <si>
    <t>Объемы выполнения (план)</t>
  </si>
  <si>
    <t>Объемы выполнения (факт)</t>
  </si>
  <si>
    <t>Затраты (план), млн. руб. (без НДС)</t>
  </si>
  <si>
    <t>Затраты (факт), млн. руб. (без НДС)</t>
  </si>
  <si>
    <t>20-35 кВ</t>
  </si>
  <si>
    <t>0,4 кВ</t>
  </si>
  <si>
    <t>Количество зданий</t>
  </si>
  <si>
    <t>отапливаемый объем</t>
  </si>
  <si>
    <t>% от длины ВЛ 0,4 кВ</t>
  </si>
  <si>
    <t>Здания административного и административно-производственного назначения</t>
  </si>
  <si>
    <t>1.1.1.</t>
  </si>
  <si>
    <t>% от п.1.1.1.</t>
  </si>
  <si>
    <t>1.1.2.</t>
  </si>
  <si>
    <t>% от п.1.1.2.</t>
  </si>
  <si>
    <t>1.1.3.</t>
  </si>
  <si>
    <t>% от п.1.1.3.</t>
  </si>
  <si>
    <t>1.1.4.</t>
  </si>
  <si>
    <t>% от п.1.1.4.</t>
  </si>
  <si>
    <t xml:space="preserve">Количество точек приема (поставки) электрической энергии, всего, в </t>
  </si>
  <si>
    <t>иные виды ТЭР</t>
  </si>
  <si>
    <t>Доля автотранспорта, находящегося в эксплуатации более 10 лет от общего количества</t>
  </si>
  <si>
    <t>%</t>
  </si>
  <si>
    <t>Доля спецтехники, находящейся в эксплуатации более 10 лет от общего количества</t>
  </si>
  <si>
    <t>1.5.1.</t>
  </si>
  <si>
    <t>1.5.1.1.</t>
  </si>
  <si>
    <t>1.5.2.</t>
  </si>
  <si>
    <t>1.5.3.</t>
  </si>
  <si>
    <t xml:space="preserve">% от п. 1.5. </t>
  </si>
  <si>
    <t>% от п.1.5.1.</t>
  </si>
  <si>
    <t>% от п. 1.5.1.1.</t>
  </si>
  <si>
    <t>% от 1.5.1.</t>
  </si>
  <si>
    <t>тыс. т.у.т.</t>
  </si>
  <si>
    <t>дизельное топливо, в т.ч.:</t>
  </si>
  <si>
    <t>Форма 2 - Перечень мероприятий по энергосбережению и повышению энергетической эффективности (мероприятия с «прямыми» эффектами)</t>
  </si>
  <si>
    <t xml:space="preserve">Форма 4 - Показатели баланса электрической энергии </t>
  </si>
  <si>
    <t>Расход энергетических ресурсов на хозяйственные нужды зданий административно-производственного назначения, всего, в т.ч.:</t>
  </si>
  <si>
    <t>Расход природных ресурсов на хозяйственные нужды зданий административно-производственного назначения, всего, в т.ч.:</t>
  </si>
  <si>
    <t>7.</t>
  </si>
  <si>
    <t xml:space="preserve"> 7.1</t>
  </si>
  <si>
    <t xml:space="preserve"> 7.2</t>
  </si>
  <si>
    <t>иные виды природных ресурсов</t>
  </si>
  <si>
    <t xml:space="preserve"> 7.3</t>
  </si>
  <si>
    <t>8.1.</t>
  </si>
  <si>
    <t>8.1.1.</t>
  </si>
  <si>
    <t>8.1.2.</t>
  </si>
  <si>
    <t>8.2.</t>
  </si>
  <si>
    <t>8.2.1.</t>
  </si>
  <si>
    <t>8.2.2.</t>
  </si>
  <si>
    <t>Расход  моторного топлива автотранспортом и спецтехникой, всего, в т.ч.:</t>
  </si>
  <si>
    <t>электрическая энергия</t>
  </si>
  <si>
    <t>газ природный (в т. ч. сжиженный)</t>
  </si>
  <si>
    <t>8.3.</t>
  </si>
  <si>
    <t xml:space="preserve"> 8.3.2</t>
  </si>
  <si>
    <t>бензин, в т.ч.:</t>
  </si>
  <si>
    <t>автотранспортом</t>
  </si>
  <si>
    <t>спецтехникой</t>
  </si>
  <si>
    <t>Иные виды топлива для автотраспорта и спецтехники, всего, в т.ч.:</t>
  </si>
  <si>
    <t>тыс. л (кг)</t>
  </si>
  <si>
    <t xml:space="preserve"> 8.3.1</t>
  </si>
  <si>
    <t>тепловая энергия (системы отопления зданий)</t>
  </si>
  <si>
    <t>газ природный (в том числе сжиженный)</t>
  </si>
  <si>
    <t>Общая площадь зданий</t>
  </si>
  <si>
    <t>Средние показатели по отрасли</t>
  </si>
  <si>
    <t>тыс.л/м.час</t>
  </si>
  <si>
    <t xml:space="preserve">Наименование </t>
  </si>
  <si>
    <t>Форма 1 - Целевые показатели программы энергосбережения и повышения энергетической эффективности</t>
  </si>
  <si>
    <t>Затраты, млн. руб. без НДС</t>
  </si>
  <si>
    <t>Затраты на программу развития системы учета, млн. руб. без НДС</t>
  </si>
  <si>
    <t>млн. руб.  без НДС                                           (с учетом воды)</t>
  </si>
  <si>
    <t>Расход моторного топлива автотранспортом и спецтехникой</t>
  </si>
  <si>
    <t xml:space="preserve">тыс. т.у.т. </t>
  </si>
  <si>
    <t>Срок амортизации, лет</t>
  </si>
  <si>
    <t>Статья затрат (CAPEX, OPEX)</t>
  </si>
  <si>
    <t>Источник финансирования</t>
  </si>
  <si>
    <t>Длина воздушных линий(ВЛ) (по цепям),всего, в том числе:</t>
  </si>
  <si>
    <t>Длина кабельных линий (КЛ) (по цепям),всего, в том числе:</t>
  </si>
  <si>
    <t>Тепловая энергия (системы опопления зданий)</t>
  </si>
  <si>
    <t>Газ природный (в том числе сжиженный)</t>
  </si>
  <si>
    <t>3.1.1.</t>
  </si>
  <si>
    <t>Бензин</t>
  </si>
  <si>
    <t>3.1.2.</t>
  </si>
  <si>
    <t>3.1.3.</t>
  </si>
  <si>
    <t>Дизельное топливо</t>
  </si>
  <si>
    <t>Иные виды топлива</t>
  </si>
  <si>
    <t>3.2.1.</t>
  </si>
  <si>
    <t>3.2.2.</t>
  </si>
  <si>
    <t>3.2.3.</t>
  </si>
  <si>
    <t>Форма 3 - Численные значения экономии для мероприятий по энергосбережению и повышению энергетической эффективности (блоки мероприятий с «сопутствующими» эффектами)</t>
  </si>
  <si>
    <t>РСК, МЭС</t>
  </si>
  <si>
    <t>МРСК, ФСК</t>
  </si>
  <si>
    <t>Отпуск электрической энергии в соответствии с "экономическим" балансом электрической энергии по уровням напряжения:</t>
  </si>
  <si>
    <t>Мероприятия по снижению потерь электрической энергии</t>
  </si>
  <si>
    <t>Мероприятия, направленные на снижение расхода электроэнергии на собственные нужды подстанций</t>
  </si>
  <si>
    <t>Мероприятия, направленные на снижение расхода энергетических ресурсов и воды на хозяйственные нужды зданий административно-производственного назначения</t>
  </si>
  <si>
    <t>Мероприятия, направленные на снижение расхода моторного топлива автотранспортом и спецтехникой</t>
  </si>
  <si>
    <t>РСК</t>
  </si>
  <si>
    <t>иные виды ТЭР (уголь, мазут, дизельное топливо, керосин и т.д.)</t>
  </si>
  <si>
    <t>Форма 5* - Общая информация о электросетевом комплексе</t>
  </si>
  <si>
    <t>Отпуск электрической энергии в сеть без учета "последней мили" и объема электрической энергии, отпущенной с шин генераторов</t>
  </si>
  <si>
    <t>Наименование титула ИПР (заполняется по мероприятиям инвестиционного характера)</t>
  </si>
  <si>
    <t>Размерность экономии</t>
  </si>
  <si>
    <t>Размерность (объем выполнения)</t>
  </si>
  <si>
    <t>% от п.5.4</t>
  </si>
  <si>
    <t>НА 2015 г. -2019 г.</t>
  </si>
  <si>
    <t xml:space="preserve">1 кв. 2015 </t>
  </si>
  <si>
    <t>2 кв. 2015</t>
  </si>
  <si>
    <t>3 кв. 2015</t>
  </si>
  <si>
    <t>4 кв. 2015</t>
  </si>
  <si>
    <t>1 кв. 2015</t>
  </si>
  <si>
    <r>
      <rPr>
        <b/>
        <sz val="11"/>
        <color theme="1"/>
        <rFont val="Calibri"/>
        <family val="2"/>
        <charset val="204"/>
        <scheme val="minor"/>
      </rPr>
      <t xml:space="preserve">ВСЕГО                                    </t>
    </r>
    <r>
      <rPr>
        <sz val="11"/>
        <color theme="1"/>
        <rFont val="Calibri"/>
        <family val="2"/>
        <charset val="204"/>
        <scheme val="minor"/>
      </rPr>
      <t>за 2015-2019 гг.</t>
    </r>
  </si>
  <si>
    <t>.</t>
  </si>
  <si>
    <r>
      <t xml:space="preserve">Численное значение экономии, </t>
    </r>
    <r>
      <rPr>
        <sz val="14"/>
        <rFont val="Calibri"/>
        <family val="2"/>
        <charset val="204"/>
      </rPr>
      <t xml:space="preserve">млн. руб. </t>
    </r>
  </si>
  <si>
    <t>Отключение трансформатора в режимах малых нагрузок на п/ст с 2-мя и более трансформаторами</t>
  </si>
  <si>
    <t>Отключение трансформаторов на подстанциях с сезонной нагрузкой</t>
  </si>
  <si>
    <t>Выравнивание нагрузок фаз в распределительных сетях 0,38 кВ</t>
  </si>
  <si>
    <t>Включено актов безучетного потребления в полезный отпуск (ЭСК)</t>
  </si>
  <si>
    <t>Замена перегруженных трансформаторов</t>
  </si>
  <si>
    <t>Замена недогруженных трансформаторов (или демонтаж)</t>
  </si>
  <si>
    <t xml:space="preserve"> </t>
  </si>
  <si>
    <t>млн.кВт.ч</t>
  </si>
  <si>
    <r>
      <t>Размерность экономии (млн. квт.ч/Гкал/тыс. м</t>
    </r>
    <r>
      <rPr>
        <vertAlign val="superscript"/>
        <sz val="14"/>
        <rFont val="Calibri"/>
        <family val="2"/>
        <charset val="204"/>
        <scheme val="minor"/>
      </rPr>
      <t>3</t>
    </r>
    <r>
      <rPr>
        <sz val="14"/>
        <rFont val="Calibri"/>
        <family val="2"/>
        <charset val="204"/>
        <scheme val="minor"/>
      </rPr>
      <t>/тыс.л/тыс.т.)</t>
    </r>
  </si>
  <si>
    <t xml:space="preserve"> СНII</t>
  </si>
  <si>
    <t>себестоимость</t>
  </si>
  <si>
    <t>3-15 кВ</t>
  </si>
  <si>
    <t xml:space="preserve">                                                 МВ* А</t>
  </si>
  <si>
    <t xml:space="preserve">                                                 ч* МВ* А</t>
  </si>
  <si>
    <t>1 кв</t>
  </si>
  <si>
    <t>2кв</t>
  </si>
  <si>
    <t>3кв</t>
  </si>
  <si>
    <t>4кв</t>
  </si>
  <si>
    <t>коэф.</t>
  </si>
  <si>
    <t>Замена радиаторов отопления на современные с терморегуляторами</t>
  </si>
  <si>
    <t>Установка теплоотражающих экранов за радиаторами</t>
  </si>
  <si>
    <t>Утепление фасада с последующей отделкой</t>
  </si>
  <si>
    <t>Замена окон на ПВХ</t>
  </si>
  <si>
    <t>Утепление перекрытий</t>
  </si>
  <si>
    <t>Замена ламп накаливания на компактные люминесцентные лампы</t>
  </si>
  <si>
    <t>Установка приборов учета тепловой энергии</t>
  </si>
  <si>
    <t>Установка приборов учета электроэнергии</t>
  </si>
  <si>
    <t>Замена трансформаторов тока по гос. Поверке, установленных в системах учета электроэнергии</t>
  </si>
  <si>
    <t>Установка приборов автоматического включения/отключения систем обогрева/охлаждения оборудования</t>
  </si>
  <si>
    <t>Модернизация системы освещения</t>
  </si>
  <si>
    <t>CAPEX</t>
  </si>
  <si>
    <t>OPEX</t>
  </si>
  <si>
    <t>CAPEX/OPEX</t>
  </si>
  <si>
    <t>Индексация   с июля 2015-8,5% , с июля 2016- 6,5%, с июля 2017 -5,55, с июля 2018- 4,4%, с июля 2019-4,4%</t>
  </si>
  <si>
    <t>покупка + передача(для актов, ППРСУ)</t>
  </si>
  <si>
    <t>Тариф на покупку потерь(….., энергосервис)</t>
  </si>
  <si>
    <t>Потери  в сопоставимых условиях(без потерь ФСК)</t>
  </si>
  <si>
    <t>ОТПУСК ЭЛ.ЭН. В СЕТЬ в сопоставимых условиях(без потерь ФСК)</t>
  </si>
  <si>
    <t>Затраты</t>
  </si>
  <si>
    <t>Мероприятия</t>
  </si>
  <si>
    <t>Инвестиционка</t>
  </si>
  <si>
    <t>млн. руб</t>
  </si>
  <si>
    <t>без НДС</t>
  </si>
  <si>
    <t>Энергосервис(внетарифные источники)</t>
  </si>
  <si>
    <t>ППРСУ (собственные, привлеченные источники)</t>
  </si>
  <si>
    <t>Общие затраты</t>
  </si>
  <si>
    <t>Всего(прямые и сопутств)</t>
  </si>
  <si>
    <t>Эффект (прямые и сопутств.)</t>
  </si>
  <si>
    <t>для ПЗ БП</t>
  </si>
  <si>
    <t>шт</t>
  </si>
  <si>
    <t>Замена ответвлений от ВЛ 0,38 кВ к зданиям</t>
  </si>
  <si>
    <t>Замена проводов на большее сечение и СИП на перегруженных ЛЭП 0,4 кВ</t>
  </si>
  <si>
    <t>Первый заместитель Генерального директора - главный инженер</t>
  </si>
  <si>
    <t>Генеральный директор</t>
  </si>
  <si>
    <t>«____» _____________ 2014 г.</t>
  </si>
  <si>
    <t>«Программа энергосбережения и повышения энергетической эффективности ОАО «Янтарьэнерго» на период 2015-2019 гг.»</t>
  </si>
  <si>
    <t>Решение  СД ОАО «Россети» (протокол от 29.05.2014 года №156) по вопросу «О формировании Объединенной Программы энергосбережения и повышения энергетической эффективности ДЗО ОАО «Россети», в соответствии с Политикой инновационного развития, энергосбережения и повышения энергетической эффективности ОАО «Россети», утвержденной СД ОАО «Россети» (протокол от 23.04.2014 года №150)</t>
  </si>
  <si>
    <t>Постановление Правительства РФ от 15.05.2010 года №340 «О порядке установления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деятельности»</t>
  </si>
  <si>
    <t>Федеральный закон от 23.11.2009 года №261-ФЗ «Об энергосбережении и о повышении энергетической эффективности и о внесении изменений в отдельные законодательные акты РФ»</t>
  </si>
  <si>
    <t>ОАО «Ятарьэнерго»</t>
  </si>
  <si>
    <t>Барсукова Елена Анатольевна , 8 (4012) 57-62-52, barsukova@yantene.ru</t>
  </si>
  <si>
    <t>Ответственный за формирование Программы (Ф.И.О, контактный телефон, e-mail)</t>
  </si>
  <si>
    <t>Заместитель Генерального директора по экономике и финансам</t>
  </si>
  <si>
    <t>В.А. Копылов</t>
  </si>
  <si>
    <t>И.В. Редько</t>
  </si>
  <si>
    <t>Заместитель Генерального директора по реализации и развитию услуг</t>
  </si>
  <si>
    <t>А.Д. Савостин</t>
  </si>
  <si>
    <t>Приказ Службы по государственному регулированию цен и тарифов Калининградской области от 17.06.2010 года №32-01/10 «Об  установлении требований к программам в области энергосбережения и повышения энергетической  эффективности для организаций, осуществляющих регулируемые виды деятельности»</t>
  </si>
  <si>
    <t>236035, г. Калининград, ул.Театральная, 34</t>
  </si>
  <si>
    <r>
      <t>млн. кВт</t>
    </r>
    <r>
      <rPr>
        <sz val="10"/>
        <color theme="1"/>
        <rFont val="Calibri"/>
        <family val="2"/>
        <charset val="204"/>
      </rPr>
      <t>·</t>
    </r>
    <r>
      <rPr>
        <sz val="10"/>
        <color theme="1"/>
        <rFont val="Calibri"/>
        <family val="2"/>
        <charset val="204"/>
        <scheme val="minor"/>
      </rPr>
      <t>ч</t>
    </r>
  </si>
  <si>
    <t xml:space="preserve">млн. руб. без НДС  </t>
  </si>
  <si>
    <r>
      <t>________________________</t>
    </r>
    <r>
      <rPr>
        <sz val="14"/>
        <rFont val="Calibri"/>
        <family val="2"/>
        <charset val="204"/>
        <scheme val="minor"/>
      </rPr>
      <t xml:space="preserve"> </t>
    </r>
    <r>
      <rPr>
        <u/>
        <sz val="14"/>
        <rFont val="Calibri"/>
        <family val="2"/>
        <charset val="204"/>
        <scheme val="minor"/>
      </rPr>
      <t>И.В. Маковский</t>
    </r>
  </si>
  <si>
    <r>
      <rPr>
        <i/>
        <sz val="10"/>
        <color theme="1"/>
        <rFont val="Calibri"/>
        <family val="2"/>
        <charset val="204"/>
        <scheme val="minor"/>
      </rPr>
      <t>Примечание:</t>
    </r>
    <r>
      <rPr>
        <sz val="10"/>
        <color theme="1"/>
        <rFont val="Calibri"/>
        <family val="2"/>
        <charset val="204"/>
        <scheme val="minor"/>
      </rPr>
      <t xml:space="preserve"> форма заполняется для группировки и оценки компаний по характерным признакам</t>
    </r>
  </si>
  <si>
    <r>
      <t>млн. кВт</t>
    </r>
    <r>
      <rPr>
        <sz val="11"/>
        <color theme="1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ч</t>
    </r>
  </si>
  <si>
    <t>тыс. л.</t>
  </si>
  <si>
    <t>тыс. л/100 км</t>
  </si>
  <si>
    <t>тыс. л</t>
  </si>
  <si>
    <t>тыс. л/м. час</t>
  </si>
  <si>
    <t>шт. ПС</t>
  </si>
  <si>
    <r>
      <t>млн. кВт</t>
    </r>
    <r>
      <rPr>
        <sz val="14"/>
        <color theme="1"/>
        <rFont val="Calibri"/>
        <family val="2"/>
        <charset val="204"/>
      </rPr>
      <t>·</t>
    </r>
    <r>
      <rPr>
        <sz val="14"/>
        <color theme="1"/>
        <rFont val="Calibri"/>
        <family val="2"/>
        <charset val="204"/>
        <scheme val="minor"/>
      </rPr>
      <t>ч</t>
    </r>
  </si>
  <si>
    <r>
      <t xml:space="preserve">Тариф на покупку потерь   </t>
    </r>
    <r>
      <rPr>
        <sz val="14"/>
        <color theme="1"/>
        <rFont val="Calibri"/>
        <family val="2"/>
        <charset val="204"/>
        <scheme val="minor"/>
      </rPr>
      <t>факт</t>
    </r>
  </si>
  <si>
    <r>
      <t xml:space="preserve">Тариф на передачу      </t>
    </r>
    <r>
      <rPr>
        <sz val="14"/>
        <color theme="1"/>
        <rFont val="Calibri"/>
        <family val="2"/>
        <charset val="204"/>
        <scheme val="minor"/>
      </rPr>
      <t>план</t>
    </r>
  </si>
  <si>
    <r>
      <t xml:space="preserve">Тариф на передачу(акты)       </t>
    </r>
    <r>
      <rPr>
        <sz val="14"/>
        <color theme="1"/>
        <rFont val="Calibri"/>
        <family val="2"/>
        <charset val="204"/>
        <scheme val="minor"/>
      </rPr>
      <t>факт</t>
    </r>
  </si>
  <si>
    <r>
      <t xml:space="preserve">Тариф на передачу(ППРСУ)       </t>
    </r>
    <r>
      <rPr>
        <sz val="14"/>
        <color theme="1"/>
        <rFont val="Calibri"/>
        <family val="2"/>
        <charset val="204"/>
        <scheme val="minor"/>
      </rPr>
      <t>факт</t>
    </r>
  </si>
  <si>
    <r>
      <t xml:space="preserve">Тариф на собственные и хозяйственные нужды      </t>
    </r>
    <r>
      <rPr>
        <sz val="14"/>
        <color theme="1"/>
        <rFont val="Calibri"/>
        <family val="2"/>
        <charset val="204"/>
        <scheme val="minor"/>
      </rPr>
      <t>план</t>
    </r>
  </si>
  <si>
    <r>
      <t>млн. кВт∙ч/м</t>
    </r>
    <r>
      <rPr>
        <vertAlign val="superscript"/>
        <sz val="14"/>
        <color theme="1" tint="4.9989318521683403E-2"/>
        <rFont val="Calibri"/>
        <family val="2"/>
        <charset val="204"/>
        <scheme val="minor"/>
      </rPr>
      <t>2</t>
    </r>
  </si>
  <si>
    <r>
      <t>Гкал/м</t>
    </r>
    <r>
      <rPr>
        <vertAlign val="superscript"/>
        <sz val="14"/>
        <color theme="1" tint="4.9989318521683403E-2"/>
        <rFont val="Calibri"/>
        <family val="2"/>
        <charset val="204"/>
        <scheme val="minor"/>
      </rPr>
      <t xml:space="preserve">3 </t>
    </r>
  </si>
  <si>
    <r>
      <t>тыс. м</t>
    </r>
    <r>
      <rPr>
        <vertAlign val="superscript"/>
        <sz val="14"/>
        <color theme="1" tint="4.9989318521683403E-2"/>
        <rFont val="Calibri"/>
        <family val="2"/>
        <charset val="204"/>
        <scheme val="minor"/>
      </rPr>
      <t>3</t>
    </r>
    <r>
      <rPr>
        <sz val="14"/>
        <color theme="1" tint="4.9989318521683403E-2"/>
        <rFont val="Calibri"/>
        <family val="2"/>
        <charset val="204"/>
        <scheme val="minor"/>
      </rPr>
      <t xml:space="preserve"> (кг)</t>
    </r>
  </si>
  <si>
    <r>
      <t>тыс. м</t>
    </r>
    <r>
      <rPr>
        <vertAlign val="superscript"/>
        <sz val="14"/>
        <color theme="1" tint="4.9989318521683403E-2"/>
        <rFont val="Calibri"/>
        <family val="2"/>
        <charset val="204"/>
        <scheme val="minor"/>
      </rPr>
      <t>3</t>
    </r>
    <r>
      <rPr>
        <sz val="14"/>
        <color theme="1" tint="4.9989318521683403E-2"/>
        <rFont val="Calibri"/>
        <family val="2"/>
        <charset val="204"/>
        <scheme val="minor"/>
      </rPr>
      <t>/тыс. л/тыс. т.</t>
    </r>
  </si>
  <si>
    <r>
      <t>тыс. м</t>
    </r>
    <r>
      <rPr>
        <vertAlign val="superscript"/>
        <sz val="14"/>
        <color theme="1" tint="4.9989318521683403E-2"/>
        <rFont val="Calibri"/>
        <family val="2"/>
        <charset val="204"/>
        <scheme val="minor"/>
      </rPr>
      <t>3</t>
    </r>
  </si>
  <si>
    <r>
      <rPr>
        <sz val="11"/>
        <rFont val="Calibri"/>
        <family val="2"/>
        <charset val="204"/>
        <scheme val="minor"/>
      </rPr>
      <t xml:space="preserve">Отпуск электрической энергии без учета </t>
    </r>
    <r>
      <rPr>
        <sz val="11"/>
        <color theme="1"/>
        <rFont val="Calibri"/>
        <family val="2"/>
        <charset val="204"/>
        <scheme val="minor"/>
      </rPr>
      <t>"последней мили" и объема электрической энергии, отпущенной с шин генераторов</t>
    </r>
  </si>
  <si>
    <r>
      <t>млн. кВт</t>
    </r>
    <r>
      <rPr>
        <sz val="11"/>
        <color theme="1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ч</t>
    </r>
  </si>
  <si>
    <t xml:space="preserve">Оснащено, % </t>
  </si>
  <si>
    <t>Не оснащено, %</t>
  </si>
  <si>
    <t>Всего, шт.</t>
  </si>
  <si>
    <t>Тепловая энергия</t>
  </si>
  <si>
    <t>Газ</t>
  </si>
  <si>
    <t>Единица измерения</t>
  </si>
  <si>
    <t>ППРСУ(для ПУЭ)</t>
  </si>
</sst>
</file>

<file path=xl/styles.xml><?xml version="1.0" encoding="utf-8"?>
<styleSheet xmlns="http://schemas.openxmlformats.org/spreadsheetml/2006/main">
  <numFmts count="47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  <numFmt numFmtId="165" formatCode="#,##0.0"/>
    <numFmt numFmtId="166" formatCode="_-* #,##0_$_-;\-* #,##0_$_-;_-* &quot;-&quot;_$_-;_-@_-"/>
    <numFmt numFmtId="167" formatCode="_-* #,##0.00_$_-;\-* #,##0.00_$_-;_-* &quot;-&quot;??_$_-;_-@_-"/>
    <numFmt numFmtId="168" formatCode="&quot;$&quot;#,##0_);[Red]\(&quot;$&quot;#,##0\)"/>
    <numFmt numFmtId="169" formatCode="_-* #,##0.00&quot;$&quot;_-;\-* #,##0.00&quot;$&quot;_-;_-* &quot;-&quot;??&quot;$&quot;_-;_-@_-"/>
    <numFmt numFmtId="170" formatCode="General_)"/>
    <numFmt numFmtId="171" formatCode="_-* #,##0.00[$€-1]_-;\-* #,##0.00[$€-1]_-;_-* &quot;-&quot;??[$€-1]_-"/>
    <numFmt numFmtId="172" formatCode="_-* #,##0_d_._-;\-* #,##0_d_._-;_-* &quot;-&quot;_d_._-;_-@_-"/>
    <numFmt numFmtId="173" formatCode="_-* #,##0.00_d_._-;\-* #,##0.00_d_._-;_-* &quot;-&quot;??_d_._-;_-@_-"/>
    <numFmt numFmtId="174" formatCode="_-* #,##0\ _D_M_-;\-* #,##0\ _D_M_-;_-* &quot;-&quot;\ _D_M_-;_-@_-"/>
    <numFmt numFmtId="175" formatCode="_-* #,##0.00\ _D_M_-;\-* #,##0.00\ _D_M_-;_-* &quot;-&quot;??\ _D_M_-;_-@_-"/>
    <numFmt numFmtId="176" formatCode="_-* #,##0.00_р_._-;\-* #,##0.00_р_._-;_-* \-??_р_._-;_-@_-"/>
    <numFmt numFmtId="177" formatCode="#,##0_);[Red]\(#,##0\)"/>
    <numFmt numFmtId="178" formatCode="0.0%"/>
    <numFmt numFmtId="179" formatCode="_(* #,##0_);_(* \(#,##0\);_(* &quot;-&quot;_);_(@_)"/>
    <numFmt numFmtId="180" formatCode="###\ ##\ ##"/>
    <numFmt numFmtId="181" formatCode="_(* #,##0_);_(* \(#,##0\);_(* &quot;-&quot;??_);_(@_)"/>
    <numFmt numFmtId="182" formatCode="_(* #,##0.000_);_(* \(#,##0.000\);_(* &quot;-&quot;???_);_(@_)"/>
    <numFmt numFmtId="183" formatCode="_-* #,##0_-;\-* #,##0_-;_-* &quot;-&quot;_-;_-@_-"/>
    <numFmt numFmtId="184" formatCode="_-* #,##0.00_-;\-* #,##0.00_-;_-* &quot;-&quot;??_-;_-@_-"/>
    <numFmt numFmtId="185" formatCode="0_);\(0\)"/>
    <numFmt numFmtId="186" formatCode="_-&quot;Ј&quot;* #,##0_-;\-&quot;Ј&quot;* #,##0_-;_-&quot;Ј&quot;* &quot;-&quot;_-;_-@_-"/>
    <numFmt numFmtId="187" formatCode="_-&quot;Ј&quot;* #,##0.00_-;\-&quot;Ј&quot;* #,##0.00_-;_-&quot;Ј&quot;* &quot;-&quot;??_-;_-@_-"/>
    <numFmt numFmtId="188" formatCode="_-* #,##0_р_._-;\-* #,##0_р_._-;_-* &quot;-&quot;??_р_._-;_-@_-"/>
    <numFmt numFmtId="189" formatCode="_-* #,##0.00_-;\-* #,##0.00_-;_-* &quot;0&quot;??_-;_-@_-"/>
    <numFmt numFmtId="190" formatCode="#,##0.00_ ;\-#,##0.00\ "/>
    <numFmt numFmtId="191" formatCode="_-* #,##0.000_р_._-;\-* #,##0.000_р_._-;_-* &quot;-&quot;_р_._-;_-@_-"/>
    <numFmt numFmtId="192" formatCode="0.000"/>
    <numFmt numFmtId="193" formatCode="_-* #,##0.000_р_._-;\-* #,##0.000_р_._-;_-* &quot;-&quot;??_р_._-;_-@_-"/>
    <numFmt numFmtId="194" formatCode="_-* #,##0.0000_р_._-;\-* #,##0.0000_р_._-;_-* &quot;-&quot;??_р_._-;_-@_-"/>
    <numFmt numFmtId="195" formatCode="_-* #,##0.00000_р_._-;\-* #,##0.00000_р_._-;_-* &quot;-&quot;??_р_._-;_-@_-"/>
    <numFmt numFmtId="196" formatCode="0.0000"/>
    <numFmt numFmtId="197" formatCode="###\ ###\ ###\ ##0.000"/>
    <numFmt numFmtId="198" formatCode="_-* #,##0.000_р_._-;\-* #,##0.000_р_._-;_-* &quot;-&quot;???_р_._-;_-@_-"/>
    <numFmt numFmtId="199" formatCode="#,##0.00000000_ ;\-#,##0.00000000\ "/>
    <numFmt numFmtId="200" formatCode="#,##0.000"/>
    <numFmt numFmtId="201" formatCode="#,##0_ ;\-#,##0\ "/>
    <numFmt numFmtId="202" formatCode="_-* #,##0.000000_р_._-;\-* #,##0.000000_р_._-;_-* &quot;-&quot;??_р_._-;_-@_-"/>
    <numFmt numFmtId="203" formatCode="0.00000"/>
    <numFmt numFmtId="204" formatCode="_-* #,##0.0000000_р_._-;\-* #,##0.0000000_р_._-;_-* &quot;-&quot;??_р_._-;_-@_-"/>
    <numFmt numFmtId="205" formatCode="_-* #,##0.0000_р_._-;\-* #,##0.0000_р_._-;_-* &quot;-&quot;_р_._-;_-@_-"/>
    <numFmt numFmtId="206" formatCode="_-* #,##0.0000_р_._-;\-* #,##0.0000_р_._-;_-* &quot;-&quot;????_р_._-;_-@_-"/>
    <numFmt numFmtId="207" formatCode="_-* #,##0.0_р_._-;\-* #,##0.0_р_._-;_-* &quot;-&quot;??_р_._-;_-@_-"/>
    <numFmt numFmtId="208" formatCode="#,##0.000_ ;\-#,##0.000\ "/>
  </numFmts>
  <fonts count="13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0"/>
      <color indexed="8"/>
      <name val="Arial Cyr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8"/>
      <name val="Optima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9"/>
      <color indexed="20"/>
      <name val="Arial"/>
      <family val="2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0"/>
      <color indexed="12"/>
      <name val="Arial Cyr"/>
      <family val="2"/>
      <charset val="204"/>
    </font>
    <font>
      <sz val="10"/>
      <color indexed="8"/>
      <name val="Times New Roman"/>
      <family val="2"/>
      <charset val="204"/>
    </font>
    <font>
      <sz val="8"/>
      <color theme="1"/>
      <name val="Arial"/>
      <family val="2"/>
      <charset val="204"/>
    </font>
    <font>
      <u/>
      <sz val="10"/>
      <color indexed="36"/>
      <name val="Arial"/>
      <family val="2"/>
      <charset val="204"/>
    </font>
    <font>
      <u/>
      <sz val="7.5"/>
      <color indexed="12"/>
      <name val="Arial Cyr"/>
      <charset val="204"/>
    </font>
    <font>
      <sz val="10"/>
      <name val="Arial"/>
      <family val="2"/>
    </font>
    <font>
      <sz val="10"/>
      <name val="Courier"/>
      <family val="3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 CYR"/>
      <family val="1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indexed="62"/>
      <name val="Arial"/>
      <family val="2"/>
    </font>
    <font>
      <sz val="10"/>
      <color indexed="9"/>
      <name val="Arial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0"/>
      <color theme="1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</font>
    <font>
      <b/>
      <sz val="10"/>
      <name val="Arial"/>
      <family val="2"/>
      <charset val="204"/>
    </font>
    <font>
      <b/>
      <sz val="10"/>
      <color indexed="9"/>
      <name val="Arial"/>
      <family val="2"/>
      <charset val="204"/>
    </font>
    <font>
      <sz val="8"/>
      <color indexed="9"/>
      <name val="MS Sans Serif"/>
      <family val="2"/>
      <charset val="204"/>
    </font>
    <font>
      <b/>
      <sz val="10"/>
      <name val="Arial Cyr"/>
      <family val="2"/>
      <charset val="204"/>
    </font>
    <font>
      <b/>
      <sz val="14"/>
      <name val="Arial"/>
      <family val="2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color indexed="9"/>
      <name val="Arial"/>
      <family val="2"/>
      <charset val="204"/>
    </font>
    <font>
      <b/>
      <sz val="9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color theme="0" tint="-0.249977111117893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u/>
      <sz val="14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 tint="4.9989318521683403E-2"/>
      <name val="Calibri"/>
      <family val="2"/>
      <charset val="204"/>
      <scheme val="minor"/>
    </font>
    <font>
      <i/>
      <sz val="14"/>
      <color theme="1" tint="4.9989318521683403E-2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</font>
    <font>
      <i/>
      <sz val="14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vertAlign val="superscript"/>
      <sz val="14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4"/>
      <color theme="1"/>
      <name val="Calibri"/>
      <family val="2"/>
      <charset val="204"/>
    </font>
    <font>
      <sz val="14"/>
      <color rgb="FFFF00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vertAlign val="superscript"/>
      <sz val="14"/>
      <color theme="1" tint="4.9989318521683403E-2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6"/>
      <color rgb="FF000000"/>
      <name val="Calibri"/>
      <family val="2"/>
      <charset val="204"/>
    </font>
    <font>
      <sz val="16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sz val="24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11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51"/>
        <bgColor indexed="13"/>
      </patternFill>
    </fill>
    <fill>
      <patternFill patternType="solid">
        <fgColor indexed="31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9"/>
        <bgColor indexed="9"/>
      </patternFill>
    </fill>
    <fill>
      <patternFill patternType="solid">
        <fgColor indexed="42"/>
        <bgColor indexed="42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7"/>
        <bgColor indexed="22"/>
      </patternFill>
    </fill>
    <fill>
      <patternFill patternType="solid">
        <fgColor indexed="61"/>
        <bgColor indexed="61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solid">
        <fgColor indexed="12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60"/>
      </patternFill>
    </fill>
    <fill>
      <patternFill patternType="solid">
        <fgColor indexed="65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8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8"/>
      </patternFill>
    </fill>
    <fill>
      <patternFill patternType="solid">
        <fgColor indexed="43"/>
        <bgColor indexed="57"/>
      </patternFill>
    </fill>
    <fill>
      <patternFill patternType="solid">
        <fgColor indexed="22"/>
        <bgColor indexed="8"/>
      </patternFill>
    </fill>
    <fill>
      <patternFill patternType="solid">
        <fgColor indexed="23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Up">
        <bgColor theme="4" tint="0.79995117038483843"/>
      </patternFill>
    </fill>
    <fill>
      <patternFill patternType="solid">
        <fgColor rgb="FFFFFFFF"/>
        <bgColor rgb="FF000000"/>
      </patternFill>
    </fill>
  </fills>
  <borders count="64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</borders>
  <cellStyleXfs count="1839">
    <xf numFmtId="0" fontId="0" fillId="0" borderId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6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1" fillId="9" borderId="0" applyNumberFormat="0" applyBorder="0" applyAlignment="0" applyProtection="0"/>
    <xf numFmtId="0" fontId="10" fillId="17" borderId="0" applyNumberFormat="0" applyBorder="0" applyAlignment="0" applyProtection="0"/>
    <xf numFmtId="0" fontId="10" fillId="12" borderId="0" applyNumberFormat="0" applyBorder="0" applyAlignment="0" applyProtection="0"/>
    <xf numFmtId="0" fontId="11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3" fillId="22" borderId="0">
      <alignment horizontal="left" vertical="top"/>
    </xf>
    <xf numFmtId="0" fontId="4" fillId="23" borderId="0">
      <alignment horizontal="center" vertical="center"/>
    </xf>
    <xf numFmtId="4" fontId="13" fillId="24" borderId="1" applyNumberFormat="0" applyProtection="0">
      <alignment vertical="center"/>
    </xf>
    <xf numFmtId="4" fontId="14" fillId="24" borderId="1" applyNumberFormat="0" applyProtection="0">
      <alignment vertical="center"/>
    </xf>
    <xf numFmtId="4" fontId="13" fillId="24" borderId="1" applyNumberFormat="0" applyProtection="0">
      <alignment horizontal="left" vertical="center" indent="1"/>
    </xf>
    <xf numFmtId="0" fontId="13" fillId="24" borderId="1" applyNumberFormat="0" applyProtection="0">
      <alignment horizontal="left" vertical="top" indent="1"/>
    </xf>
    <xf numFmtId="4" fontId="13" fillId="25" borderId="0" applyNumberFormat="0" applyProtection="0">
      <alignment horizontal="left" vertical="center" indent="1"/>
    </xf>
    <xf numFmtId="4" fontId="15" fillId="2" borderId="1" applyNumberFormat="0" applyProtection="0">
      <alignment horizontal="right" vertical="center"/>
    </xf>
    <xf numFmtId="4" fontId="15" fillId="4" borderId="1" applyNumberFormat="0" applyProtection="0">
      <alignment horizontal="right" vertical="center"/>
    </xf>
    <xf numFmtId="4" fontId="15" fillId="26" borderId="1" applyNumberFormat="0" applyProtection="0">
      <alignment horizontal="right" vertical="center"/>
    </xf>
    <xf numFmtId="4" fontId="15" fillId="6" borderId="1" applyNumberFormat="0" applyProtection="0">
      <alignment horizontal="right" vertical="center"/>
    </xf>
    <xf numFmtId="4" fontId="15" fillId="7" borderId="1" applyNumberFormat="0" applyProtection="0">
      <alignment horizontal="right" vertical="center"/>
    </xf>
    <xf numFmtId="4" fontId="15" fillId="27" borderId="1" applyNumberFormat="0" applyProtection="0">
      <alignment horizontal="right" vertical="center"/>
    </xf>
    <xf numFmtId="4" fontId="15" fillId="28" borderId="1" applyNumberFormat="0" applyProtection="0">
      <alignment horizontal="right" vertical="center"/>
    </xf>
    <xf numFmtId="4" fontId="15" fillId="29" borderId="1" applyNumberFormat="0" applyProtection="0">
      <alignment horizontal="right" vertical="center"/>
    </xf>
    <xf numFmtId="4" fontId="15" fillId="5" borderId="1" applyNumberFormat="0" applyProtection="0">
      <alignment horizontal="right" vertical="center"/>
    </xf>
    <xf numFmtId="4" fontId="13" fillId="30" borderId="2" applyNumberFormat="0" applyProtection="0">
      <alignment horizontal="left" vertical="center" indent="1"/>
    </xf>
    <xf numFmtId="4" fontId="15" fillId="31" borderId="0" applyNumberFormat="0" applyProtection="0">
      <alignment horizontal="left" vertical="center" indent="1"/>
    </xf>
    <xf numFmtId="4" fontId="16" fillId="32" borderId="0" applyNumberFormat="0" applyProtection="0">
      <alignment horizontal="left" vertical="center" indent="1"/>
    </xf>
    <xf numFmtId="4" fontId="15" fillId="25" borderId="1" applyNumberFormat="0" applyProtection="0">
      <alignment horizontal="right" vertical="center"/>
    </xf>
    <xf numFmtId="4" fontId="3" fillId="31" borderId="0" applyNumberFormat="0" applyProtection="0">
      <alignment horizontal="left" vertical="center" indent="1"/>
    </xf>
    <xf numFmtId="4" fontId="3" fillId="25" borderId="0" applyNumberFormat="0" applyProtection="0">
      <alignment horizontal="left" vertical="center" indent="1"/>
    </xf>
    <xf numFmtId="0" fontId="8" fillId="32" borderId="1" applyNumberFormat="0" applyProtection="0">
      <alignment horizontal="left" vertical="center" indent="1"/>
    </xf>
    <xf numFmtId="0" fontId="8" fillId="32" borderId="1" applyNumberFormat="0" applyProtection="0">
      <alignment horizontal="left" vertical="top" indent="1"/>
    </xf>
    <xf numFmtId="0" fontId="8" fillId="25" borderId="1" applyNumberFormat="0" applyProtection="0">
      <alignment horizontal="left" vertical="center" indent="1"/>
    </xf>
    <xf numFmtId="0" fontId="8" fillId="25" borderId="1" applyNumberFormat="0" applyProtection="0">
      <alignment horizontal="left" vertical="top" indent="1"/>
    </xf>
    <xf numFmtId="0" fontId="8" fillId="3" borderId="1" applyNumberFormat="0" applyProtection="0">
      <alignment horizontal="left" vertical="center" indent="1"/>
    </xf>
    <xf numFmtId="0" fontId="8" fillId="3" borderId="1" applyNumberFormat="0" applyProtection="0">
      <alignment horizontal="left" vertical="top" indent="1"/>
    </xf>
    <xf numFmtId="0" fontId="8" fillId="31" borderId="1" applyNumberFormat="0" applyProtection="0">
      <alignment horizontal="left" vertical="center" indent="1"/>
    </xf>
    <xf numFmtId="0" fontId="8" fillId="31" borderId="1" applyNumberFormat="0" applyProtection="0">
      <alignment horizontal="left" vertical="top" indent="1"/>
    </xf>
    <xf numFmtId="0" fontId="8" fillId="22" borderId="3" applyNumberFormat="0">
      <protection locked="0"/>
    </xf>
    <xf numFmtId="4" fontId="15" fillId="33" borderId="1" applyNumberFormat="0" applyProtection="0">
      <alignment vertical="center"/>
    </xf>
    <xf numFmtId="4" fontId="17" fillId="33" borderId="1" applyNumberFormat="0" applyProtection="0">
      <alignment vertical="center"/>
    </xf>
    <xf numFmtId="4" fontId="15" fillId="33" borderId="1" applyNumberFormat="0" applyProtection="0">
      <alignment horizontal="left" vertical="center" indent="1"/>
    </xf>
    <xf numFmtId="0" fontId="15" fillId="33" borderId="1" applyNumberFormat="0" applyProtection="0">
      <alignment horizontal="left" vertical="top" indent="1"/>
    </xf>
    <xf numFmtId="4" fontId="15" fillId="31" borderId="1" applyNumberFormat="0" applyProtection="0">
      <alignment horizontal="right" vertical="center"/>
    </xf>
    <xf numFmtId="4" fontId="17" fillId="31" borderId="1" applyNumberFormat="0" applyProtection="0">
      <alignment horizontal="right" vertical="center"/>
    </xf>
    <xf numFmtId="4" fontId="15" fillId="25" borderId="1" applyNumberFormat="0" applyProtection="0">
      <alignment horizontal="left" vertical="center" indent="1"/>
    </xf>
    <xf numFmtId="0" fontId="15" fillId="25" borderId="1" applyNumberFormat="0" applyProtection="0">
      <alignment horizontal="left" vertical="top" indent="1"/>
    </xf>
    <xf numFmtId="4" fontId="18" fillId="34" borderId="0" applyNumberFormat="0" applyProtection="0">
      <alignment horizontal="left" vertical="center" indent="1"/>
    </xf>
    <xf numFmtId="4" fontId="19" fillId="31" borderId="1" applyNumberFormat="0" applyProtection="0">
      <alignment horizontal="right" vertical="center"/>
    </xf>
    <xf numFmtId="0" fontId="20" fillId="0" borderId="0" applyNumberFormat="0" applyFill="0" applyBorder="0" applyAlignment="0" applyProtection="0"/>
    <xf numFmtId="0" fontId="5" fillId="0" borderId="4" applyBorder="0">
      <alignment horizontal="center" vertical="center" wrapText="1"/>
    </xf>
    <xf numFmtId="4" fontId="6" fillId="35" borderId="3" applyBorder="0">
      <alignment horizontal="right"/>
    </xf>
    <xf numFmtId="0" fontId="2" fillId="0" borderId="0"/>
    <xf numFmtId="0" fontId="7" fillId="0" borderId="0"/>
    <xf numFmtId="0" fontId="8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8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0" fontId="26" fillId="0" borderId="0"/>
    <xf numFmtId="0" fontId="26" fillId="0" borderId="0"/>
    <xf numFmtId="0" fontId="2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27" fillId="0" borderId="0"/>
    <xf numFmtId="0" fontId="27" fillId="0" borderId="0"/>
    <xf numFmtId="0" fontId="8" fillId="0" borderId="0"/>
    <xf numFmtId="0" fontId="8" fillId="0" borderId="0"/>
    <xf numFmtId="0" fontId="9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9" fillId="0" borderId="0"/>
    <xf numFmtId="44" fontId="28" fillId="0" borderId="0">
      <protection locked="0"/>
    </xf>
    <xf numFmtId="44" fontId="28" fillId="0" borderId="0">
      <protection locked="0"/>
    </xf>
    <xf numFmtId="44" fontId="28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8" fillId="0" borderId="19">
      <protection locked="0"/>
    </xf>
    <xf numFmtId="0" fontId="30" fillId="40" borderId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1" borderId="0" applyNumberFormat="0" applyBorder="0" applyAlignment="0" applyProtection="0"/>
    <xf numFmtId="0" fontId="31" fillId="2" borderId="0" applyNumberFormat="0" applyBorder="0" applyAlignment="0" applyProtection="0"/>
    <xf numFmtId="0" fontId="31" fillId="42" borderId="0" applyNumberFormat="0" applyBorder="0" applyAlignment="0" applyProtection="0"/>
    <xf numFmtId="0" fontId="31" fillId="43" borderId="0" applyNumberFormat="0" applyBorder="0" applyAlignment="0" applyProtection="0"/>
    <xf numFmtId="0" fontId="31" fillId="44" borderId="0" applyNumberFormat="0" applyBorder="0" applyAlignment="0" applyProtection="0"/>
    <xf numFmtId="0" fontId="31" fillId="16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43" borderId="0" applyNumberFormat="0" applyBorder="0" applyAlignment="0" applyProtection="0"/>
    <xf numFmtId="0" fontId="31" fillId="3" borderId="0" applyNumberFormat="0" applyBorder="0" applyAlignment="0" applyProtection="0"/>
    <xf numFmtId="0" fontId="31" fillId="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46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47" borderId="0" applyNumberFormat="0" applyBorder="0" applyAlignment="0" applyProtection="0"/>
    <xf numFmtId="0" fontId="32" fillId="48" borderId="0" applyNumberFormat="0" applyBorder="0" applyAlignment="0" applyProtection="0"/>
    <xf numFmtId="0" fontId="32" fillId="7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4" fillId="23" borderId="20" applyNumberFormat="0" applyAlignment="0" applyProtection="0"/>
    <xf numFmtId="0" fontId="34" fillId="23" borderId="20" applyNumberFormat="0" applyAlignment="0" applyProtection="0"/>
    <xf numFmtId="0" fontId="34" fillId="23" borderId="20" applyNumberFormat="0" applyAlignment="0" applyProtection="0"/>
    <xf numFmtId="0" fontId="34" fillId="23" borderId="20" applyNumberFormat="0" applyAlignment="0" applyProtection="0"/>
    <xf numFmtId="0" fontId="34" fillId="23" borderId="20" applyNumberFormat="0" applyAlignment="0" applyProtection="0"/>
    <xf numFmtId="0" fontId="34" fillId="23" borderId="20" applyNumberFormat="0" applyAlignment="0" applyProtection="0"/>
    <xf numFmtId="0" fontId="34" fillId="23" borderId="20" applyNumberFormat="0" applyAlignment="0" applyProtection="0"/>
    <xf numFmtId="0" fontId="34" fillId="23" borderId="20" applyNumberFormat="0" applyAlignment="0" applyProtection="0"/>
    <xf numFmtId="0" fontId="34" fillId="23" borderId="20" applyNumberFormat="0" applyAlignment="0" applyProtection="0"/>
    <xf numFmtId="0" fontId="34" fillId="23" borderId="20" applyNumberFormat="0" applyAlignment="0" applyProtection="0"/>
    <xf numFmtId="0" fontId="34" fillId="23" borderId="20" applyNumberFormat="0" applyAlignment="0" applyProtection="0"/>
    <xf numFmtId="0" fontId="34" fillId="23" borderId="20" applyNumberFormat="0" applyAlignment="0" applyProtection="0"/>
    <xf numFmtId="0" fontId="34" fillId="23" borderId="20" applyNumberFormat="0" applyAlignment="0" applyProtection="0"/>
    <xf numFmtId="0" fontId="34" fillId="23" borderId="20" applyNumberFormat="0" applyAlignment="0" applyProtection="0"/>
    <xf numFmtId="0" fontId="35" fillId="50" borderId="21" applyNumberFormat="0" applyAlignment="0" applyProtection="0"/>
    <xf numFmtId="0" fontId="35" fillId="50" borderId="21" applyNumberFormat="0" applyAlignment="0" applyProtection="0"/>
    <xf numFmtId="0" fontId="35" fillId="50" borderId="21" applyNumberFormat="0" applyAlignment="0" applyProtection="0"/>
    <xf numFmtId="0" fontId="35" fillId="50" borderId="21" applyNumberFormat="0" applyAlignment="0" applyProtection="0"/>
    <xf numFmtId="0" fontId="35" fillId="50" borderId="21" applyNumberFormat="0" applyAlignment="0" applyProtection="0"/>
    <xf numFmtId="0" fontId="35" fillId="50" borderId="21" applyNumberFormat="0" applyAlignment="0" applyProtection="0"/>
    <xf numFmtId="0" fontId="35" fillId="50" borderId="21" applyNumberFormat="0" applyAlignment="0" applyProtection="0"/>
    <xf numFmtId="0" fontId="35" fillId="50" borderId="21" applyNumberFormat="0" applyAlignment="0" applyProtection="0"/>
    <xf numFmtId="0" fontId="35" fillId="50" borderId="21" applyNumberFormat="0" applyAlignment="0" applyProtection="0"/>
    <xf numFmtId="0" fontId="35" fillId="50" borderId="21" applyNumberFormat="0" applyAlignment="0" applyProtection="0"/>
    <xf numFmtId="0" fontId="35" fillId="50" borderId="21" applyNumberFormat="0" applyAlignment="0" applyProtection="0"/>
    <xf numFmtId="0" fontId="35" fillId="50" borderId="21" applyNumberFormat="0" applyAlignment="0" applyProtection="0"/>
    <xf numFmtId="0" fontId="35" fillId="50" borderId="21" applyNumberFormat="0" applyAlignment="0" applyProtection="0"/>
    <xf numFmtId="0" fontId="35" fillId="50" borderId="21" applyNumberFormat="0" applyAlignment="0" applyProtection="0"/>
    <xf numFmtId="166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8" fontId="30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45" borderId="20" applyNumberFormat="0" applyAlignment="0" applyProtection="0"/>
    <xf numFmtId="0" fontId="41" fillId="45" borderId="20" applyNumberFormat="0" applyAlignment="0" applyProtection="0"/>
    <xf numFmtId="0" fontId="41" fillId="45" borderId="20" applyNumberFormat="0" applyAlignment="0" applyProtection="0"/>
    <xf numFmtId="0" fontId="41" fillId="45" borderId="20" applyNumberFormat="0" applyAlignment="0" applyProtection="0"/>
    <xf numFmtId="0" fontId="41" fillId="45" borderId="20" applyNumberFormat="0" applyAlignment="0" applyProtection="0"/>
    <xf numFmtId="0" fontId="41" fillId="45" borderId="20" applyNumberFormat="0" applyAlignment="0" applyProtection="0"/>
    <xf numFmtId="0" fontId="41" fillId="45" borderId="20" applyNumberFormat="0" applyAlignment="0" applyProtection="0"/>
    <xf numFmtId="0" fontId="41" fillId="45" borderId="20" applyNumberFormat="0" applyAlignment="0" applyProtection="0"/>
    <xf numFmtId="0" fontId="41" fillId="45" borderId="20" applyNumberFormat="0" applyAlignment="0" applyProtection="0"/>
    <xf numFmtId="0" fontId="41" fillId="45" borderId="20" applyNumberFormat="0" applyAlignment="0" applyProtection="0"/>
    <xf numFmtId="0" fontId="41" fillId="45" borderId="20" applyNumberFormat="0" applyAlignment="0" applyProtection="0"/>
    <xf numFmtId="0" fontId="41" fillId="45" borderId="20" applyNumberFormat="0" applyAlignment="0" applyProtection="0"/>
    <xf numFmtId="0" fontId="41" fillId="45" borderId="20" applyNumberFormat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30" fillId="0" borderId="26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4" fillId="0" borderId="0"/>
    <xf numFmtId="0" fontId="45" fillId="0" borderId="0"/>
    <xf numFmtId="0" fontId="2" fillId="33" borderId="27" applyNumberFormat="0" applyFont="0" applyAlignment="0" applyProtection="0"/>
    <xf numFmtId="0" fontId="31" fillId="33" borderId="27" applyNumberFormat="0" applyFont="0" applyAlignment="0" applyProtection="0"/>
    <xf numFmtId="0" fontId="31" fillId="33" borderId="27" applyNumberFormat="0" applyFont="0" applyAlignment="0" applyProtection="0"/>
    <xf numFmtId="0" fontId="31" fillId="33" borderId="27" applyNumberFormat="0" applyFont="0" applyAlignment="0" applyProtection="0"/>
    <xf numFmtId="0" fontId="31" fillId="33" borderId="27" applyNumberFormat="0" applyFont="0" applyAlignment="0" applyProtection="0"/>
    <xf numFmtId="0" fontId="31" fillId="33" borderId="27" applyNumberFormat="0" applyFont="0" applyAlignment="0" applyProtection="0"/>
    <xf numFmtId="0" fontId="31" fillId="33" borderId="27" applyNumberFormat="0" applyFont="0" applyAlignment="0" applyProtection="0"/>
    <xf numFmtId="0" fontId="31" fillId="33" borderId="27" applyNumberFormat="0" applyFont="0" applyAlignment="0" applyProtection="0"/>
    <xf numFmtId="0" fontId="31" fillId="33" borderId="27" applyNumberFormat="0" applyFont="0" applyAlignment="0" applyProtection="0"/>
    <xf numFmtId="0" fontId="31" fillId="33" borderId="27" applyNumberFormat="0" applyFont="0" applyAlignment="0" applyProtection="0"/>
    <xf numFmtId="0" fontId="31" fillId="33" borderId="27" applyNumberFormat="0" applyFont="0" applyAlignment="0" applyProtection="0"/>
    <xf numFmtId="0" fontId="31" fillId="33" borderId="27" applyNumberFormat="0" applyFont="0" applyAlignment="0" applyProtection="0"/>
    <xf numFmtId="0" fontId="31" fillId="33" borderId="27" applyNumberFormat="0" applyFont="0" applyAlignment="0" applyProtection="0"/>
    <xf numFmtId="0" fontId="31" fillId="33" borderId="27" applyNumberFormat="0" applyFont="0" applyAlignment="0" applyProtection="0"/>
    <xf numFmtId="0" fontId="46" fillId="23" borderId="28" applyNumberFormat="0" applyAlignment="0" applyProtection="0"/>
    <xf numFmtId="0" fontId="46" fillId="23" borderId="28" applyNumberFormat="0" applyAlignment="0" applyProtection="0"/>
    <xf numFmtId="0" fontId="46" fillId="23" borderId="28" applyNumberFormat="0" applyAlignment="0" applyProtection="0"/>
    <xf numFmtId="0" fontId="46" fillId="23" borderId="28" applyNumberFormat="0" applyAlignment="0" applyProtection="0"/>
    <xf numFmtId="0" fontId="46" fillId="23" borderId="28" applyNumberFormat="0" applyAlignment="0" applyProtection="0"/>
    <xf numFmtId="0" fontId="46" fillId="23" borderId="28" applyNumberFormat="0" applyAlignment="0" applyProtection="0"/>
    <xf numFmtId="0" fontId="46" fillId="23" borderId="28" applyNumberFormat="0" applyAlignment="0" applyProtection="0"/>
    <xf numFmtId="0" fontId="46" fillId="23" borderId="28" applyNumberFormat="0" applyAlignment="0" applyProtection="0"/>
    <xf numFmtId="0" fontId="46" fillId="23" borderId="28" applyNumberFormat="0" applyAlignment="0" applyProtection="0"/>
    <xf numFmtId="0" fontId="46" fillId="23" borderId="28" applyNumberFormat="0" applyAlignment="0" applyProtection="0"/>
    <xf numFmtId="0" fontId="46" fillId="23" borderId="28" applyNumberFormat="0" applyAlignment="0" applyProtection="0"/>
    <xf numFmtId="0" fontId="46" fillId="23" borderId="28" applyNumberFormat="0" applyAlignment="0" applyProtection="0"/>
    <xf numFmtId="0" fontId="46" fillId="23" borderId="28" applyNumberFormat="0" applyAlignment="0" applyProtection="0"/>
    <xf numFmtId="0" fontId="46" fillId="23" borderId="28" applyNumberFormat="0" applyAlignment="0" applyProtection="0"/>
    <xf numFmtId="0" fontId="47" fillId="0" borderId="0" applyNumberFormat="0">
      <alignment horizontal="left"/>
    </xf>
    <xf numFmtId="0" fontId="48" fillId="51" borderId="0"/>
    <xf numFmtId="49" fontId="49" fillId="51" borderId="0"/>
    <xf numFmtId="49" fontId="50" fillId="51" borderId="29"/>
    <xf numFmtId="49" fontId="50" fillId="51" borderId="0"/>
    <xf numFmtId="0" fontId="48" fillId="52" borderId="29">
      <protection locked="0"/>
    </xf>
    <xf numFmtId="0" fontId="48" fillId="51" borderId="0"/>
    <xf numFmtId="0" fontId="50" fillId="53" borderId="0"/>
    <xf numFmtId="0" fontId="50" fillId="54" borderId="0"/>
    <xf numFmtId="0" fontId="50" fillId="55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2" fillId="49" borderId="0" applyNumberFormat="0" applyBorder="0" applyAlignment="0" applyProtection="0"/>
    <xf numFmtId="0" fontId="32" fillId="26" borderId="0" applyNumberFormat="0" applyBorder="0" applyAlignment="0" applyProtection="0"/>
    <xf numFmtId="0" fontId="32" fillId="28" borderId="0" applyNumberFormat="0" applyBorder="0" applyAlignment="0" applyProtection="0"/>
    <xf numFmtId="0" fontId="32" fillId="47" borderId="0" applyNumberFormat="0" applyBorder="0" applyAlignment="0" applyProtection="0"/>
    <xf numFmtId="0" fontId="32" fillId="48" borderId="0" applyNumberFormat="0" applyBorder="0" applyAlignment="0" applyProtection="0"/>
    <xf numFmtId="0" fontId="32" fillId="27" borderId="0" applyNumberFormat="0" applyBorder="0" applyAlignment="0" applyProtection="0"/>
    <xf numFmtId="170" fontId="26" fillId="0" borderId="31">
      <protection locked="0"/>
    </xf>
    <xf numFmtId="0" fontId="41" fillId="16" borderId="20" applyNumberFormat="0" applyAlignment="0" applyProtection="0"/>
    <xf numFmtId="0" fontId="46" fillId="23" borderId="28" applyNumberFormat="0" applyAlignment="0" applyProtection="0"/>
    <xf numFmtId="0" fontId="34" fillId="23" borderId="20" applyNumberFormat="0" applyAlignment="0" applyProtection="0"/>
    <xf numFmtId="0" fontId="54" fillId="0" borderId="0" applyBorder="0">
      <alignment horizontal="center" vertical="center" wrapText="1"/>
    </xf>
    <xf numFmtId="0" fontId="38" fillId="0" borderId="22" applyNumberFormat="0" applyFill="0" applyAlignment="0" applyProtection="0"/>
    <xf numFmtId="0" fontId="39" fillId="0" borderId="23" applyNumberFormat="0" applyFill="0" applyAlignment="0" applyProtection="0"/>
    <xf numFmtId="0" fontId="40" fillId="0" borderId="24" applyNumberFormat="0" applyFill="0" applyAlignment="0" applyProtection="0"/>
    <xf numFmtId="0" fontId="40" fillId="0" borderId="0" applyNumberFormat="0" applyFill="0" applyBorder="0" applyAlignment="0" applyProtection="0"/>
    <xf numFmtId="0" fontId="2" fillId="0" borderId="3">
      <alignment horizontal="center" vertical="center" wrapText="1"/>
    </xf>
    <xf numFmtId="170" fontId="55" fillId="56" borderId="31"/>
    <xf numFmtId="0" fontId="52" fillId="0" borderId="30" applyNumberFormat="0" applyFill="0" applyAlignment="0" applyProtection="0"/>
    <xf numFmtId="0" fontId="35" fillId="50" borderId="21" applyNumberFormat="0" applyAlignment="0" applyProtection="0"/>
    <xf numFmtId="0" fontId="51" fillId="0" borderId="0" applyNumberFormat="0" applyFill="0" applyBorder="0" applyAlignment="0" applyProtection="0"/>
    <xf numFmtId="0" fontId="43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2" borderId="0" applyNumberFormat="0" applyBorder="0" applyAlignment="0" applyProtection="0"/>
    <xf numFmtId="0" fontId="36" fillId="0" borderId="0" applyNumberFormat="0" applyFill="0" applyBorder="0" applyAlignment="0" applyProtection="0"/>
    <xf numFmtId="0" fontId="8" fillId="57" borderId="27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0" fontId="42" fillId="0" borderId="25" applyNumberFormat="0" applyFill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3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" fontId="6" fillId="58" borderId="0" applyBorder="0">
      <alignment horizontal="right"/>
    </xf>
    <xf numFmtId="4" fontId="6" fillId="58" borderId="3" applyFont="0" applyBorder="0">
      <alignment horizontal="right"/>
    </xf>
    <xf numFmtId="0" fontId="37" fillId="42" borderId="0" applyNumberFormat="0" applyBorder="0" applyAlignment="0" applyProtection="0"/>
    <xf numFmtId="44" fontId="28" fillId="0" borderId="0">
      <protection locked="0"/>
    </xf>
    <xf numFmtId="0" fontId="9" fillId="0" borderId="0"/>
    <xf numFmtId="0" fontId="9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27" fillId="0" borderId="0"/>
    <xf numFmtId="0" fontId="9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27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9" fillId="0" borderId="0"/>
    <xf numFmtId="0" fontId="9" fillId="0" borderId="0"/>
    <xf numFmtId="171" fontId="25" fillId="0" borderId="0" applyFont="0" applyFill="0" applyBorder="0" applyAlignment="0" applyProtection="0"/>
    <xf numFmtId="0" fontId="58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172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60" fillId="0" borderId="0">
      <protection locked="0"/>
    </xf>
    <xf numFmtId="0" fontId="61" fillId="0" borderId="0"/>
    <xf numFmtId="0" fontId="25" fillId="0" borderId="3">
      <alignment horizontal="center"/>
    </xf>
    <xf numFmtId="0" fontId="2" fillId="0" borderId="0">
      <alignment vertical="top"/>
    </xf>
    <xf numFmtId="0" fontId="2" fillId="0" borderId="0">
      <alignment vertical="top"/>
    </xf>
    <xf numFmtId="0" fontId="25" fillId="0" borderId="3">
      <alignment horizontal="center"/>
    </xf>
    <xf numFmtId="0" fontId="25" fillId="0" borderId="0">
      <alignment vertical="top"/>
    </xf>
    <xf numFmtId="0" fontId="25" fillId="0" borderId="0">
      <alignment horizontal="right" vertical="top" wrapText="1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3">
      <alignment horizontal="center" wrapText="1"/>
    </xf>
    <xf numFmtId="0" fontId="2" fillId="0" borderId="0">
      <alignment vertical="top"/>
    </xf>
    <xf numFmtId="0" fontId="2" fillId="0" borderId="0">
      <alignment vertical="top"/>
    </xf>
    <xf numFmtId="0" fontId="62" fillId="58" borderId="0" applyFill="0">
      <alignment wrapText="1"/>
    </xf>
    <xf numFmtId="0" fontId="63" fillId="0" borderId="0">
      <alignment horizontal="center" vertical="top" wrapText="1"/>
    </xf>
    <xf numFmtId="0" fontId="64" fillId="0" borderId="0">
      <alignment horizontal="center" vertical="center" wrapText="1"/>
    </xf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1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5" fillId="0" borderId="0"/>
    <xf numFmtId="0" fontId="25" fillId="0" borderId="3">
      <alignment horizontal="center" wrapText="1"/>
    </xf>
    <xf numFmtId="164" fontId="66" fillId="35" borderId="5" applyNumberFormat="0" applyBorder="0" applyAlignment="0">
      <alignment vertical="center"/>
      <protection locked="0"/>
    </xf>
    <xf numFmtId="9" fontId="31" fillId="0" borderId="0" applyFont="0" applyFill="0" applyBorder="0" applyAlignment="0" applyProtection="0"/>
    <xf numFmtId="9" fontId="8" fillId="0" borderId="0" applyFill="0" applyBorder="0" applyAlignment="0" applyProtection="0"/>
    <xf numFmtId="0" fontId="25" fillId="0" borderId="3">
      <alignment horizontal="center"/>
    </xf>
    <xf numFmtId="0" fontId="25" fillId="0" borderId="3">
      <alignment horizontal="center" wrapText="1"/>
    </xf>
    <xf numFmtId="0" fontId="9" fillId="0" borderId="0"/>
    <xf numFmtId="0" fontId="27" fillId="0" borderId="0"/>
    <xf numFmtId="165" fontId="67" fillId="0" borderId="0">
      <alignment vertical="top"/>
    </xf>
    <xf numFmtId="0" fontId="2" fillId="0" borderId="0">
      <alignment vertical="justify"/>
    </xf>
    <xf numFmtId="0" fontId="2" fillId="52" borderId="3" applyNumberFormat="0" applyAlignment="0">
      <alignment horizontal="left"/>
    </xf>
    <xf numFmtId="0" fontId="2" fillId="52" borderId="3" applyNumberFormat="0" applyAlignment="0">
      <alignment horizontal="left"/>
    </xf>
    <xf numFmtId="49" fontId="62" fillId="0" borderId="0">
      <alignment horizontal="center"/>
    </xf>
    <xf numFmtId="0" fontId="25" fillId="0" borderId="0">
      <alignment horizontal="center"/>
    </xf>
    <xf numFmtId="17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" fontId="6" fillId="58" borderId="12" applyBorder="0">
      <alignment horizontal="right"/>
    </xf>
    <xf numFmtId="0" fontId="25" fillId="0" borderId="0">
      <alignment horizontal="left" vertical="top"/>
    </xf>
    <xf numFmtId="0" fontId="25" fillId="0" borderId="0"/>
    <xf numFmtId="0" fontId="26" fillId="0" borderId="0"/>
    <xf numFmtId="0" fontId="8" fillId="0" borderId="0"/>
    <xf numFmtId="9" fontId="8" fillId="0" borderId="0" applyFill="0" applyBorder="0" applyAlignment="0" applyProtection="0"/>
    <xf numFmtId="0" fontId="8" fillId="0" borderId="0"/>
    <xf numFmtId="0" fontId="71" fillId="45" borderId="0" applyNumberFormat="0" applyBorder="0" applyAlignment="0" applyProtection="0"/>
    <xf numFmtId="0" fontId="32" fillId="67" borderId="0" applyNumberFormat="0" applyBorder="0" applyAlignment="0" applyProtection="0"/>
    <xf numFmtId="0" fontId="32" fillId="70" borderId="0" applyNumberFormat="0" applyBorder="0" applyAlignment="0" applyProtection="0"/>
    <xf numFmtId="0" fontId="11" fillId="71" borderId="0" applyNumberFormat="0" applyBorder="0" applyAlignment="0" applyProtection="0"/>
    <xf numFmtId="0" fontId="8" fillId="0" borderId="0"/>
    <xf numFmtId="0" fontId="8" fillId="0" borderId="0"/>
    <xf numFmtId="0" fontId="8" fillId="57" borderId="27" applyNumberFormat="0" applyAlignment="0" applyProtection="0"/>
    <xf numFmtId="9" fontId="8" fillId="0" borderId="0" applyFill="0" applyBorder="0" applyAlignment="0" applyProtection="0"/>
    <xf numFmtId="43" fontId="8" fillId="0" borderId="0" applyFill="0" applyBorder="0" applyAlignment="0" applyProtection="0"/>
    <xf numFmtId="43" fontId="8" fillId="0" borderId="0" applyFill="0" applyBorder="0" applyAlignment="0" applyProtection="0"/>
    <xf numFmtId="43" fontId="4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1" fillId="74" borderId="0" applyNumberFormat="0" applyBorder="0" applyAlignment="0" applyProtection="0"/>
    <xf numFmtId="0" fontId="11" fillId="13" borderId="0" applyNumberFormat="0" applyBorder="0" applyAlignment="0" applyProtection="0"/>
    <xf numFmtId="43" fontId="2" fillId="0" borderId="0" applyFont="0" applyFill="0" applyBorder="0" applyAlignment="0" applyProtection="0"/>
    <xf numFmtId="0" fontId="26" fillId="0" borderId="0"/>
    <xf numFmtId="0" fontId="11" fillId="74" borderId="0" applyNumberFormat="0" applyBorder="0" applyAlignment="0" applyProtection="0"/>
    <xf numFmtId="0" fontId="11" fillId="72" borderId="0" applyNumberFormat="0" applyBorder="0" applyAlignment="0" applyProtection="0"/>
    <xf numFmtId="0" fontId="11" fillId="72" borderId="0" applyNumberFormat="0" applyBorder="0" applyAlignment="0" applyProtection="0"/>
    <xf numFmtId="0" fontId="68" fillId="0" borderId="0"/>
    <xf numFmtId="0" fontId="41" fillId="16" borderId="20" applyNumberFormat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4" fontId="69" fillId="24" borderId="32" applyNumberFormat="0" applyProtection="0">
      <alignment vertical="center"/>
    </xf>
    <xf numFmtId="0" fontId="26" fillId="0" borderId="0"/>
    <xf numFmtId="0" fontId="68" fillId="0" borderId="0"/>
    <xf numFmtId="0" fontId="68" fillId="0" borderId="0"/>
    <xf numFmtId="4" fontId="69" fillId="5" borderId="32" applyNumberFormat="0" applyProtection="0">
      <alignment horizontal="right" vertical="center"/>
    </xf>
    <xf numFmtId="4" fontId="69" fillId="28" borderId="32" applyNumberFormat="0" applyProtection="0">
      <alignment horizontal="right" vertical="center"/>
    </xf>
    <xf numFmtId="0" fontId="10" fillId="18" borderId="0" applyNumberFormat="0" applyBorder="0" applyAlignment="0" applyProtection="0"/>
    <xf numFmtId="0" fontId="10" fillId="14" borderId="0" applyNumberFormat="0" applyBorder="0" applyAlignment="0" applyProtection="0"/>
    <xf numFmtId="0" fontId="11" fillId="75" borderId="0" applyNumberFormat="0" applyBorder="0" applyAlignment="0" applyProtection="0"/>
    <xf numFmtId="0" fontId="11" fillId="74" borderId="0" applyNumberFormat="0" applyBorder="0" applyAlignment="0" applyProtection="0"/>
    <xf numFmtId="0" fontId="67" fillId="22" borderId="37" applyNumberFormat="0">
      <protection locked="0"/>
    </xf>
    <xf numFmtId="0" fontId="67" fillId="31" borderId="1" applyNumberFormat="0" applyProtection="0">
      <alignment horizontal="left" vertical="top" indent="1"/>
    </xf>
    <xf numFmtId="9" fontId="8" fillId="0" borderId="0" applyFill="0" applyBorder="0" applyAlignment="0" applyProtection="0"/>
    <xf numFmtId="43" fontId="8" fillId="0" borderId="0" applyFill="0" applyBorder="0" applyAlignment="0" applyProtection="0"/>
    <xf numFmtId="0" fontId="11" fillId="73" borderId="0" applyNumberFormat="0" applyBorder="0" applyAlignment="0" applyProtection="0"/>
    <xf numFmtId="43" fontId="68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33" borderId="0" applyNumberFormat="0" applyBorder="0" applyAlignment="0" applyProtection="0"/>
    <xf numFmtId="0" fontId="15" fillId="22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31" fillId="63" borderId="0" applyNumberFormat="0" applyBorder="0" applyAlignment="0" applyProtection="0"/>
    <xf numFmtId="0" fontId="31" fillId="38" borderId="0" applyNumberFormat="0" applyBorder="0" applyAlignment="0" applyProtection="0"/>
    <xf numFmtId="0" fontId="31" fillId="39" borderId="0" applyNumberFormat="0" applyBorder="0" applyAlignment="0" applyProtection="0"/>
    <xf numFmtId="0" fontId="31" fillId="61" borderId="0" applyNumberFormat="0" applyBorder="0" applyAlignment="0" applyProtection="0"/>
    <xf numFmtId="0" fontId="31" fillId="37" borderId="0" applyNumberFormat="0" applyBorder="0" applyAlignment="0" applyProtection="0"/>
    <xf numFmtId="0" fontId="31" fillId="65" borderId="0" applyNumberFormat="0" applyBorder="0" applyAlignment="0" applyProtection="0"/>
    <xf numFmtId="0" fontId="31" fillId="66" borderId="0" applyNumberFormat="0" applyBorder="0" applyAlignment="0" applyProtection="0"/>
    <xf numFmtId="0" fontId="31" fillId="61" borderId="0" applyNumberFormat="0" applyBorder="0" applyAlignment="0" applyProtection="0"/>
    <xf numFmtId="0" fontId="31" fillId="64" borderId="0" applyNumberFormat="0" applyBorder="0" applyAlignment="0" applyProtection="0"/>
    <xf numFmtId="0" fontId="31" fillId="62" borderId="0" applyNumberFormat="0" applyBorder="0" applyAlignment="0" applyProtection="0"/>
    <xf numFmtId="0" fontId="71" fillId="32" borderId="0" applyNumberFormat="0" applyBorder="0" applyAlignment="0" applyProtection="0"/>
    <xf numFmtId="0" fontId="71" fillId="4" borderId="0" applyNumberFormat="0" applyBorder="0" applyAlignment="0" applyProtection="0"/>
    <xf numFmtId="0" fontId="71" fillId="28" borderId="0" applyNumberFormat="0" applyBorder="0" applyAlignment="0" applyProtection="0"/>
    <xf numFmtId="0" fontId="71" fillId="23" borderId="0" applyNumberFormat="0" applyBorder="0" applyAlignment="0" applyProtection="0"/>
    <xf numFmtId="0" fontId="71" fillId="32" borderId="0" applyNumberFormat="0" applyBorder="0" applyAlignment="0" applyProtection="0"/>
    <xf numFmtId="0" fontId="68" fillId="0" borderId="0"/>
    <xf numFmtId="0" fontId="11" fillId="13" borderId="0" applyNumberFormat="0" applyBorder="0" applyAlignment="0" applyProtection="0"/>
    <xf numFmtId="0" fontId="11" fillId="73" borderId="0" applyNumberFormat="0" applyBorder="0" applyAlignment="0" applyProtection="0"/>
    <xf numFmtId="0" fontId="11" fillId="75" borderId="0" applyNumberFormat="0" applyBorder="0" applyAlignment="0" applyProtection="0"/>
    <xf numFmtId="4" fontId="15" fillId="31" borderId="1" applyNumberFormat="0" applyProtection="0">
      <alignment horizontal="right" vertical="center"/>
    </xf>
    <xf numFmtId="0" fontId="20" fillId="0" borderId="0" applyNumberFormat="0" applyFill="0" applyBorder="0" applyAlignment="0" applyProtection="0"/>
    <xf numFmtId="0" fontId="12" fillId="0" borderId="36" applyNumberFormat="0" applyFill="0" applyAlignment="0" applyProtection="0"/>
    <xf numFmtId="0" fontId="84" fillId="0" borderId="0" applyNumberFormat="0" applyFill="0" applyBorder="0" applyAlignment="0" applyProtection="0"/>
    <xf numFmtId="0" fontId="32" fillId="78" borderId="0" applyNumberFormat="0" applyBorder="0" applyAlignment="0" applyProtection="0"/>
    <xf numFmtId="0" fontId="32" fillId="79" borderId="0" applyNumberFormat="0" applyBorder="0" applyAlignment="0" applyProtection="0"/>
    <xf numFmtId="0" fontId="32" fillId="80" borderId="0" applyNumberFormat="0" applyBorder="0" applyAlignment="0" applyProtection="0"/>
    <xf numFmtId="0" fontId="32" fillId="68" borderId="0" applyNumberFormat="0" applyBorder="0" applyAlignment="0" applyProtection="0"/>
    <xf numFmtId="0" fontId="32" fillId="69" borderId="0" applyNumberFormat="0" applyBorder="0" applyAlignment="0" applyProtection="0"/>
    <xf numFmtId="0" fontId="32" fillId="81" borderId="0" applyNumberFormat="0" applyBorder="0" applyAlignment="0" applyProtection="0"/>
    <xf numFmtId="0" fontId="46" fillId="59" borderId="28" applyNumberFormat="0" applyAlignment="0" applyProtection="0"/>
    <xf numFmtId="0" fontId="34" fillId="59" borderId="20" applyNumberFormat="0" applyAlignment="0" applyProtection="0"/>
    <xf numFmtId="0" fontId="35" fillId="82" borderId="21" applyNumberFormat="0" applyAlignment="0" applyProtection="0"/>
    <xf numFmtId="0" fontId="43" fillId="60" borderId="0" applyNumberFormat="0" applyBorder="0" applyAlignment="0" applyProtection="0"/>
    <xf numFmtId="0" fontId="8" fillId="0" borderId="0"/>
    <xf numFmtId="0" fontId="33" fillId="38" borderId="0" applyNumberFormat="0" applyBorder="0" applyAlignment="0" applyProtection="0"/>
    <xf numFmtId="4" fontId="69" fillId="29" borderId="32" applyNumberFormat="0" applyProtection="0">
      <alignment horizontal="right" vertical="center"/>
    </xf>
    <xf numFmtId="0" fontId="37" fillId="39" borderId="0" applyNumberFormat="0" applyBorder="0" applyAlignment="0" applyProtection="0"/>
    <xf numFmtId="0" fontId="67" fillId="97" borderId="0"/>
    <xf numFmtId="0" fontId="31" fillId="0" borderId="0"/>
    <xf numFmtId="0" fontId="31" fillId="16" borderId="0" applyNumberFormat="0" applyBorder="0" applyAlignment="0" applyProtection="0"/>
    <xf numFmtId="0" fontId="8" fillId="0" borderId="0"/>
    <xf numFmtId="0" fontId="26" fillId="0" borderId="0"/>
    <xf numFmtId="0" fontId="31" fillId="16" borderId="0" applyNumberFormat="0" applyBorder="0" applyAlignment="0" applyProtection="0"/>
    <xf numFmtId="0" fontId="8" fillId="0" borderId="0"/>
    <xf numFmtId="0" fontId="8" fillId="0" borderId="0"/>
    <xf numFmtId="0" fontId="69" fillId="96" borderId="3"/>
    <xf numFmtId="4" fontId="88" fillId="34" borderId="18" applyNumberFormat="0" applyProtection="0">
      <alignment horizontal="left" vertical="center" indent="1"/>
    </xf>
    <xf numFmtId="0" fontId="86" fillId="25" borderId="1" applyNumberFormat="0" applyProtection="0">
      <alignment horizontal="left" vertical="top" indent="1"/>
    </xf>
    <xf numFmtId="4" fontId="86" fillId="23" borderId="1" applyNumberFormat="0" applyProtection="0">
      <alignment horizontal="left" vertical="center" indent="1"/>
    </xf>
    <xf numFmtId="4" fontId="70" fillId="95" borderId="3" applyNumberFormat="0" applyProtection="0">
      <alignment vertical="center"/>
    </xf>
    <xf numFmtId="0" fontId="67" fillId="3" borderId="1" applyNumberFormat="0" applyProtection="0">
      <alignment horizontal="left" vertical="top" indent="1"/>
    </xf>
    <xf numFmtId="0" fontId="69" fillId="3" borderId="32" applyNumberFormat="0" applyProtection="0">
      <alignment horizontal="left" vertical="center" indent="1"/>
    </xf>
    <xf numFmtId="0" fontId="67" fillId="25" borderId="1" applyNumberFormat="0" applyProtection="0">
      <alignment horizontal="left" vertical="top" indent="1"/>
    </xf>
    <xf numFmtId="0" fontId="69" fillId="94" borderId="32" applyNumberFormat="0" applyProtection="0">
      <alignment horizontal="left" vertical="center" indent="1"/>
    </xf>
    <xf numFmtId="0" fontId="69" fillId="23" borderId="32" applyNumberFormat="0" applyProtection="0">
      <alignment horizontal="left" vertical="center" indent="1"/>
    </xf>
    <xf numFmtId="4" fontId="69" fillId="25" borderId="18" applyNumberFormat="0" applyProtection="0">
      <alignment horizontal="left" vertical="center" indent="1"/>
    </xf>
    <xf numFmtId="4" fontId="69" fillId="31" borderId="18" applyNumberFormat="0" applyProtection="0">
      <alignment horizontal="left" vertical="center" indent="1"/>
    </xf>
    <xf numFmtId="4" fontId="69" fillId="25" borderId="32" applyNumberFormat="0" applyProtection="0">
      <alignment horizontal="right" vertical="center"/>
    </xf>
    <xf numFmtId="4" fontId="60" fillId="32" borderId="18" applyNumberFormat="0" applyProtection="0">
      <alignment horizontal="left" vertical="center" indent="1"/>
    </xf>
    <xf numFmtId="4" fontId="69" fillId="30" borderId="18" applyNumberFormat="0" applyProtection="0">
      <alignment horizontal="left" vertical="center" indent="1"/>
    </xf>
    <xf numFmtId="4" fontId="69" fillId="7" borderId="32" applyNumberFormat="0" applyProtection="0">
      <alignment horizontal="right" vertical="center"/>
    </xf>
    <xf numFmtId="4" fontId="69" fillId="6" borderId="32" applyNumberFormat="0" applyProtection="0">
      <alignment horizontal="right" vertical="center"/>
    </xf>
    <xf numFmtId="4" fontId="69" fillId="26" borderId="18" applyNumberFormat="0" applyProtection="0">
      <alignment horizontal="right" vertical="center"/>
    </xf>
    <xf numFmtId="4" fontId="69" fillId="93" borderId="32" applyNumberFormat="0" applyProtection="0">
      <alignment horizontal="right" vertical="center"/>
    </xf>
    <xf numFmtId="4" fontId="69" fillId="2" borderId="32" applyNumberFormat="0" applyProtection="0">
      <alignment horizontal="right" vertical="center"/>
    </xf>
    <xf numFmtId="4" fontId="69" fillId="48" borderId="32" applyNumberFormat="0" applyProtection="0">
      <alignment horizontal="left" vertical="center" indent="1"/>
    </xf>
    <xf numFmtId="0" fontId="87" fillId="24" borderId="1" applyNumberFormat="0" applyProtection="0">
      <alignment horizontal="left" vertical="top" indent="1"/>
    </xf>
    <xf numFmtId="4" fontId="69" fillId="35" borderId="32" applyNumberFormat="0" applyProtection="0">
      <alignment horizontal="left" vertical="center" indent="1"/>
    </xf>
    <xf numFmtId="4" fontId="70" fillId="35" borderId="32" applyNumberFormat="0" applyProtection="0">
      <alignment vertical="center"/>
    </xf>
    <xf numFmtId="0" fontId="26" fillId="0" borderId="0"/>
    <xf numFmtId="0" fontId="77" fillId="0" borderId="33" applyNumberFormat="0" applyFill="0" applyAlignment="0" applyProtection="0"/>
    <xf numFmtId="0" fontId="78" fillId="0" borderId="23" applyNumberFormat="0" applyFill="0" applyAlignment="0" applyProtection="0"/>
    <xf numFmtId="0" fontId="79" fillId="0" borderId="34" applyNumberFormat="0" applyFill="0" applyAlignment="0" applyProtection="0"/>
    <xf numFmtId="0" fontId="79" fillId="0" borderId="0" applyNumberFormat="0" applyFill="0" applyBorder="0" applyAlignment="0" applyProtection="0"/>
    <xf numFmtId="0" fontId="80" fillId="18" borderId="20" applyNumberFormat="0" applyAlignment="0" applyProtection="0"/>
    <xf numFmtId="0" fontId="81" fillId="0" borderId="35" applyNumberFormat="0" applyFill="0" applyAlignment="0" applyProtection="0"/>
    <xf numFmtId="0" fontId="68" fillId="0" borderId="0"/>
    <xf numFmtId="0" fontId="8" fillId="0" borderId="0"/>
    <xf numFmtId="43" fontId="8" fillId="0" borderId="0" applyFill="0" applyBorder="0" applyAlignment="0" applyProtection="0"/>
    <xf numFmtId="176" fontId="8" fillId="0" borderId="0" applyFill="0" applyBorder="0" applyAlignment="0" applyProtection="0"/>
    <xf numFmtId="43" fontId="8" fillId="0" borderId="0" applyFill="0" applyBorder="0" applyAlignment="0" applyProtection="0"/>
    <xf numFmtId="0" fontId="8" fillId="31" borderId="1" applyNumberFormat="0" applyProtection="0">
      <alignment horizontal="left" vertical="center" indent="1"/>
    </xf>
    <xf numFmtId="4" fontId="86" fillId="33" borderId="1" applyNumberFormat="0" applyProtection="0">
      <alignment vertical="center"/>
    </xf>
    <xf numFmtId="0" fontId="85" fillId="32" borderId="38" applyBorder="0"/>
    <xf numFmtId="0" fontId="8" fillId="0" borderId="0"/>
    <xf numFmtId="0" fontId="8" fillId="0" borderId="0"/>
    <xf numFmtId="0" fontId="68" fillId="0" borderId="0"/>
    <xf numFmtId="0" fontId="8" fillId="0" borderId="0"/>
    <xf numFmtId="43" fontId="31" fillId="0" borderId="0" applyFont="0" applyFill="0" applyBorder="0" applyAlignment="0" applyProtection="0"/>
    <xf numFmtId="176" fontId="8" fillId="0" borderId="0" applyFill="0" applyBorder="0" applyAlignment="0" applyProtection="0"/>
    <xf numFmtId="43" fontId="8" fillId="0" borderId="0" applyFill="0" applyBorder="0" applyAlignment="0" applyProtection="0"/>
    <xf numFmtId="176" fontId="8" fillId="0" borderId="0" applyFill="0" applyBorder="0" applyAlignment="0" applyProtection="0"/>
    <xf numFmtId="9" fontId="8" fillId="0" borderId="0" applyFill="0" applyBorder="0" applyAlignment="0" applyProtection="0"/>
    <xf numFmtId="4" fontId="89" fillId="22" borderId="32" applyNumberFormat="0" applyProtection="0">
      <alignment horizontal="right" vertical="center"/>
    </xf>
    <xf numFmtId="0" fontId="67" fillId="32" borderId="1" applyNumberFormat="0" applyProtection="0">
      <alignment horizontal="left" vertical="top" indent="1"/>
    </xf>
    <xf numFmtId="0" fontId="11" fillId="13" borderId="0" applyNumberFormat="0" applyBorder="0" applyAlignment="0" applyProtection="0"/>
    <xf numFmtId="4" fontId="69" fillId="27" borderId="32" applyNumberFormat="0" applyProtection="0">
      <alignment horizontal="right" vertical="center"/>
    </xf>
    <xf numFmtId="0" fontId="11" fillId="85" borderId="0" applyNumberFormat="0" applyBorder="0" applyAlignment="0" applyProtection="0"/>
    <xf numFmtId="0" fontId="15" fillId="4" borderId="0" applyNumberFormat="0" applyBorder="0" applyAlignment="0" applyProtection="0"/>
    <xf numFmtId="0" fontId="15" fillId="28" borderId="0" applyNumberFormat="0" applyBorder="0" applyAlignment="0" applyProtection="0"/>
    <xf numFmtId="0" fontId="8" fillId="0" borderId="0"/>
    <xf numFmtId="0" fontId="41" fillId="83" borderId="20" applyNumberFormat="0" applyAlignment="0" applyProtection="0"/>
    <xf numFmtId="4" fontId="60" fillId="32" borderId="18" applyNumberFormat="0" applyProtection="0">
      <alignment horizontal="left" vertical="center" indent="1"/>
    </xf>
    <xf numFmtId="0" fontId="12" fillId="92" borderId="0" applyNumberFormat="0" applyBorder="0" applyAlignment="0" applyProtection="0"/>
    <xf numFmtId="0" fontId="11" fillId="73" borderId="0" applyNumberFormat="0" applyBorder="0" applyAlignment="0" applyProtection="0"/>
    <xf numFmtId="0" fontId="11" fillId="75" borderId="0" applyNumberFormat="0" applyBorder="0" applyAlignment="0" applyProtection="0"/>
    <xf numFmtId="0" fontId="11" fillId="71" borderId="0" applyNumberFormat="0" applyBorder="0" applyAlignment="0" applyProtection="0"/>
    <xf numFmtId="43" fontId="31" fillId="0" borderId="0" applyFont="0" applyFill="0" applyBorder="0" applyAlignment="0" applyProtection="0"/>
    <xf numFmtId="0" fontId="86" fillId="33" borderId="1" applyNumberFormat="0" applyProtection="0">
      <alignment horizontal="left" vertical="top" indent="1"/>
    </xf>
    <xf numFmtId="0" fontId="26" fillId="0" borderId="0"/>
    <xf numFmtId="0" fontId="26" fillId="0" borderId="0"/>
    <xf numFmtId="0" fontId="15" fillId="23" borderId="0" applyNumberFormat="0" applyBorder="0" applyAlignment="0" applyProtection="0"/>
    <xf numFmtId="0" fontId="15" fillId="45" borderId="0" applyNumberFormat="0" applyBorder="0" applyAlignment="0" applyProtection="0"/>
    <xf numFmtId="0" fontId="31" fillId="64" borderId="0" applyNumberFormat="0" applyBorder="0" applyAlignment="0" applyProtection="0"/>
    <xf numFmtId="0" fontId="32" fillId="66" borderId="0" applyNumberFormat="0" applyBorder="0" applyAlignment="0" applyProtection="0"/>
    <xf numFmtId="0" fontId="32" fillId="68" borderId="0" applyNumberFormat="0" applyBorder="0" applyAlignment="0" applyProtection="0"/>
    <xf numFmtId="0" fontId="32" fillId="69" borderId="0" applyNumberFormat="0" applyBorder="0" applyAlignment="0" applyProtection="0"/>
    <xf numFmtId="0" fontId="12" fillId="91" borderId="0" applyNumberFormat="0" applyBorder="0" applyAlignment="0" applyProtection="0"/>
    <xf numFmtId="0" fontId="10" fillId="84" borderId="0" applyNumberFormat="0" applyBorder="0" applyAlignment="0" applyProtection="0"/>
    <xf numFmtId="0" fontId="31" fillId="83" borderId="0" applyNumberFormat="0" applyBorder="0" applyAlignment="0" applyProtection="0"/>
    <xf numFmtId="0" fontId="8" fillId="0" borderId="0"/>
    <xf numFmtId="0" fontId="11" fillId="90" borderId="0" applyNumberFormat="0" applyBorder="0" applyAlignment="0" applyProtection="0"/>
    <xf numFmtId="0" fontId="11" fillId="71" borderId="0" applyNumberFormat="0" applyBorder="0" applyAlignment="0" applyProtection="0"/>
    <xf numFmtId="0" fontId="11" fillId="75" borderId="0" applyNumberFormat="0" applyBorder="0" applyAlignment="0" applyProtection="0"/>
    <xf numFmtId="0" fontId="15" fillId="25" borderId="0" applyNumberFormat="0" applyBorder="0" applyAlignment="0" applyProtection="0"/>
    <xf numFmtId="0" fontId="76" fillId="77" borderId="0" applyNumberFormat="0" applyBorder="0" applyAlignment="0" applyProtection="0"/>
    <xf numFmtId="0" fontId="32" fillId="65" borderId="0" applyNumberFormat="0" applyBorder="0" applyAlignment="0" applyProtection="0"/>
    <xf numFmtId="0" fontId="11" fillId="72" borderId="0" applyNumberFormat="0" applyBorder="0" applyAlignment="0" applyProtection="0"/>
    <xf numFmtId="0" fontId="72" fillId="12" borderId="0" applyNumberFormat="0" applyBorder="0" applyAlignment="0" applyProtection="0"/>
    <xf numFmtId="0" fontId="73" fillId="76" borderId="20" applyNumberFormat="0" applyAlignment="0" applyProtection="0"/>
    <xf numFmtId="0" fontId="74" fillId="13" borderId="21" applyNumberFormat="0" applyAlignment="0" applyProtection="0"/>
    <xf numFmtId="0" fontId="82" fillId="18" borderId="0" applyNumberFormat="0" applyBorder="0" applyAlignment="0" applyProtection="0"/>
    <xf numFmtId="0" fontId="8" fillId="17" borderId="27" applyNumberFormat="0" applyFont="0" applyAlignment="0" applyProtection="0"/>
    <xf numFmtId="0" fontId="83" fillId="76" borderId="28" applyNumberFormat="0" applyAlignment="0" applyProtection="0"/>
    <xf numFmtId="0" fontId="11" fillId="15" borderId="0" applyNumberFormat="0" applyBorder="0" applyAlignment="0" applyProtection="0"/>
    <xf numFmtId="0" fontId="10" fillId="13" borderId="0" applyNumberFormat="0" applyBorder="0" applyAlignment="0" applyProtection="0"/>
    <xf numFmtId="0" fontId="10" fillId="86" borderId="0" applyNumberFormat="0" applyBorder="0" applyAlignment="0" applyProtection="0"/>
    <xf numFmtId="0" fontId="11" fillId="89" borderId="0" applyNumberFormat="0" applyBorder="0" applyAlignment="0" applyProtection="0"/>
    <xf numFmtId="0" fontId="10" fillId="88" borderId="0" applyNumberFormat="0" applyBorder="0" applyAlignment="0" applyProtection="0"/>
    <xf numFmtId="0" fontId="10" fillId="87" borderId="0" applyNumberFormat="0" applyBorder="0" applyAlignment="0" applyProtection="0"/>
    <xf numFmtId="0" fontId="11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86" borderId="0" applyNumberFormat="0" applyBorder="0" applyAlignment="0" applyProtection="0"/>
    <xf numFmtId="0" fontId="11" fillId="85" borderId="0" applyNumberFormat="0" applyBorder="0" applyAlignment="0" applyProtection="0"/>
    <xf numFmtId="0" fontId="8" fillId="0" borderId="0"/>
    <xf numFmtId="0" fontId="8" fillId="0" borderId="0"/>
    <xf numFmtId="0" fontId="25" fillId="0" borderId="0"/>
    <xf numFmtId="0" fontId="8" fillId="0" borderId="0"/>
    <xf numFmtId="0" fontId="8" fillId="57" borderId="27" applyNumberFormat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4" fontId="17" fillId="31" borderId="1" applyNumberFormat="0" applyProtection="0">
      <alignment horizontal="right" vertical="center"/>
    </xf>
    <xf numFmtId="4" fontId="15" fillId="25" borderId="1" applyNumberFormat="0" applyProtection="0">
      <alignment horizontal="left" vertical="center" indent="1"/>
    </xf>
    <xf numFmtId="0" fontId="11" fillId="73" borderId="0" applyNumberFormat="0" applyBorder="0" applyAlignment="0" applyProtection="0"/>
    <xf numFmtId="0" fontId="11" fillId="71" borderId="0" applyNumberFormat="0" applyBorder="0" applyAlignment="0" applyProtection="0"/>
    <xf numFmtId="0" fontId="11" fillId="74" borderId="0" applyNumberFormat="0" applyBorder="0" applyAlignment="0" applyProtection="0"/>
    <xf numFmtId="0" fontId="11" fillId="73" borderId="0" applyNumberFormat="0" applyBorder="0" applyAlignment="0" applyProtection="0"/>
    <xf numFmtId="0" fontId="11" fillId="13" borderId="0" applyNumberFormat="0" applyBorder="0" applyAlignment="0" applyProtection="0"/>
    <xf numFmtId="0" fontId="69" fillId="31" borderId="32" applyNumberFormat="0" applyProtection="0">
      <alignment horizontal="left" vertical="center" indent="1"/>
    </xf>
    <xf numFmtId="4" fontId="69" fillId="0" borderId="32" applyNumberFormat="0" applyProtection="0">
      <alignment horizontal="right" vertical="center"/>
    </xf>
    <xf numFmtId="4" fontId="70" fillId="52" borderId="32" applyNumberFormat="0" applyProtection="0">
      <alignment horizontal="right" vertical="center"/>
    </xf>
    <xf numFmtId="4" fontId="69" fillId="48" borderId="32" applyNumberFormat="0" applyProtection="0">
      <alignment horizontal="left" vertical="center" indent="1"/>
    </xf>
    <xf numFmtId="0" fontId="10" fillId="16" borderId="0" applyNumberFormat="0" applyBorder="0" applyAlignment="0" applyProtection="0"/>
    <xf numFmtId="0" fontId="75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11" fillId="75" borderId="0" applyNumberFormat="0" applyBorder="0" applyAlignment="0" applyProtection="0"/>
    <xf numFmtId="0" fontId="11" fillId="71" borderId="0" applyNumberFormat="0" applyBorder="0" applyAlignment="0" applyProtection="0"/>
    <xf numFmtId="0" fontId="11" fillId="72" borderId="0" applyNumberFormat="0" applyBorder="0" applyAlignment="0" applyProtection="0"/>
    <xf numFmtId="0" fontId="11" fillId="72" borderId="0" applyNumberFormat="0" applyBorder="0" applyAlignment="0" applyProtection="0"/>
    <xf numFmtId="0" fontId="11" fillId="74" borderId="0" applyNumberFormat="0" applyBorder="0" applyAlignment="0" applyProtection="0"/>
    <xf numFmtId="0" fontId="26" fillId="0" borderId="0"/>
    <xf numFmtId="0" fontId="11" fillId="73" borderId="0" applyNumberFormat="0" applyBorder="0" applyAlignment="0" applyProtection="0"/>
    <xf numFmtId="0" fontId="11" fillId="75" borderId="0" applyNumberFormat="0" applyBorder="0" applyAlignment="0" applyProtection="0"/>
    <xf numFmtId="0" fontId="11" fillId="13" borderId="0" applyNumberFormat="0" applyBorder="0" applyAlignment="0" applyProtection="0"/>
    <xf numFmtId="0" fontId="11" fillId="74" borderId="0" applyNumberFormat="0" applyBorder="0" applyAlignment="0" applyProtection="0"/>
    <xf numFmtId="0" fontId="11" fillId="72" borderId="0" applyNumberFormat="0" applyBorder="0" applyAlignment="0" applyProtection="0"/>
    <xf numFmtId="0" fontId="11" fillId="71" borderId="0" applyNumberFormat="0" applyBorder="0" applyAlignment="0" applyProtection="0"/>
    <xf numFmtId="0" fontId="11" fillId="73" borderId="0" applyNumberFormat="0" applyBorder="0" applyAlignment="0" applyProtection="0"/>
    <xf numFmtId="0" fontId="11" fillId="71" borderId="0" applyNumberFormat="0" applyBorder="0" applyAlignment="0" applyProtection="0"/>
    <xf numFmtId="0" fontId="26" fillId="0" borderId="0"/>
    <xf numFmtId="0" fontId="26" fillId="0" borderId="0"/>
    <xf numFmtId="0" fontId="11" fillId="75" borderId="0" applyNumberFormat="0" applyBorder="0" applyAlignment="0" applyProtection="0"/>
    <xf numFmtId="0" fontId="26" fillId="0" borderId="0"/>
    <xf numFmtId="0" fontId="11" fillId="75" borderId="0" applyNumberFormat="0" applyBorder="0" applyAlignment="0" applyProtection="0"/>
    <xf numFmtId="0" fontId="11" fillId="74" borderId="0" applyNumberFormat="0" applyBorder="0" applyAlignment="0" applyProtection="0"/>
    <xf numFmtId="0" fontId="11" fillId="71" borderId="0" applyNumberFormat="0" applyBorder="0" applyAlignment="0" applyProtection="0"/>
    <xf numFmtId="0" fontId="11" fillId="72" borderId="0" applyNumberFormat="0" applyBorder="0" applyAlignment="0" applyProtection="0"/>
    <xf numFmtId="0" fontId="68" fillId="0" borderId="0"/>
    <xf numFmtId="0" fontId="11" fillId="71" borderId="0" applyNumberFormat="0" applyBorder="0" applyAlignment="0" applyProtection="0"/>
    <xf numFmtId="0" fontId="26" fillId="0" borderId="0"/>
    <xf numFmtId="0" fontId="68" fillId="0" borderId="0"/>
    <xf numFmtId="0" fontId="26" fillId="0" borderId="0"/>
    <xf numFmtId="0" fontId="11" fillId="72" borderId="0" applyNumberFormat="0" applyBorder="0" applyAlignment="0" applyProtection="0"/>
    <xf numFmtId="0" fontId="11" fillId="73" borderId="0" applyNumberFormat="0" applyBorder="0" applyAlignment="0" applyProtection="0"/>
    <xf numFmtId="0" fontId="11" fillId="74" borderId="0" applyNumberFormat="0" applyBorder="0" applyAlignment="0" applyProtection="0"/>
    <xf numFmtId="0" fontId="68" fillId="0" borderId="0"/>
    <xf numFmtId="0" fontId="11" fillId="75" borderId="0" applyNumberFormat="0" applyBorder="0" applyAlignment="0" applyProtection="0"/>
    <xf numFmtId="0" fontId="11" fillId="73" borderId="0" applyNumberFormat="0" applyBorder="0" applyAlignment="0" applyProtection="0"/>
    <xf numFmtId="0" fontId="26" fillId="0" borderId="0"/>
    <xf numFmtId="0" fontId="11" fillId="72" borderId="0" applyNumberFormat="0" applyBorder="0" applyAlignment="0" applyProtection="0"/>
    <xf numFmtId="0" fontId="11" fillId="71" borderId="0" applyNumberFormat="0" applyBorder="0" applyAlignment="0" applyProtection="0"/>
    <xf numFmtId="0" fontId="26" fillId="0" borderId="0"/>
    <xf numFmtId="0" fontId="11" fillId="75" borderId="0" applyNumberFormat="0" applyBorder="0" applyAlignment="0" applyProtection="0"/>
    <xf numFmtId="0" fontId="11" fillId="13" borderId="0" applyNumberFormat="0" applyBorder="0" applyAlignment="0" applyProtection="0"/>
    <xf numFmtId="0" fontId="11" fillId="73" borderId="0" applyNumberFormat="0" applyBorder="0" applyAlignment="0" applyProtection="0"/>
    <xf numFmtId="0" fontId="11" fillId="72" borderId="0" applyNumberFormat="0" applyBorder="0" applyAlignment="0" applyProtection="0"/>
    <xf numFmtId="0" fontId="11" fillId="72" borderId="0" applyNumberFormat="0" applyBorder="0" applyAlignment="0" applyProtection="0"/>
    <xf numFmtId="0" fontId="11" fillId="13" borderId="0" applyNumberFormat="0" applyBorder="0" applyAlignment="0" applyProtection="0"/>
    <xf numFmtId="0" fontId="11" fillId="74" borderId="0" applyNumberFormat="0" applyBorder="0" applyAlignment="0" applyProtection="0"/>
    <xf numFmtId="0" fontId="11" fillId="72" borderId="0" applyNumberFormat="0" applyBorder="0" applyAlignment="0" applyProtection="0"/>
    <xf numFmtId="0" fontId="11" fillId="73" borderId="0" applyNumberFormat="0" applyBorder="0" applyAlignment="0" applyProtection="0"/>
    <xf numFmtId="0" fontId="11" fillId="75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71" borderId="0" applyNumberFormat="0" applyBorder="0" applyAlignment="0" applyProtection="0"/>
    <xf numFmtId="0" fontId="11" fillId="75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74" borderId="0" applyNumberFormat="0" applyBorder="0" applyAlignment="0" applyProtection="0"/>
    <xf numFmtId="0" fontId="11" fillId="71" borderId="0" applyNumberFormat="0" applyBorder="0" applyAlignment="0" applyProtection="0"/>
    <xf numFmtId="0" fontId="68" fillId="0" borderId="0"/>
    <xf numFmtId="0" fontId="11" fillId="75" borderId="0" applyNumberFormat="0" applyBorder="0" applyAlignment="0" applyProtection="0"/>
    <xf numFmtId="0" fontId="11" fillId="73" borderId="0" applyNumberFormat="0" applyBorder="0" applyAlignment="0" applyProtection="0"/>
    <xf numFmtId="0" fontId="11" fillId="74" borderId="0" applyNumberFormat="0" applyBorder="0" applyAlignment="0" applyProtection="0"/>
    <xf numFmtId="0" fontId="11" fillId="13" borderId="0" applyNumberFormat="0" applyBorder="0" applyAlignment="0" applyProtection="0"/>
    <xf numFmtId="0" fontId="11" fillId="72" borderId="0" applyNumberFormat="0" applyBorder="0" applyAlignment="0" applyProtection="0"/>
    <xf numFmtId="0" fontId="11" fillId="71" borderId="0" applyNumberFormat="0" applyBorder="0" applyAlignment="0" applyProtection="0"/>
    <xf numFmtId="0" fontId="11" fillId="73" borderId="0" applyNumberFormat="0" applyBorder="0" applyAlignment="0" applyProtection="0"/>
    <xf numFmtId="0" fontId="11" fillId="74" borderId="0" applyNumberFormat="0" applyBorder="0" applyAlignment="0" applyProtection="0"/>
    <xf numFmtId="0" fontId="68" fillId="0" borderId="0"/>
    <xf numFmtId="0" fontId="68" fillId="0" borderId="0"/>
    <xf numFmtId="0" fontId="11" fillId="74" borderId="0" applyNumberFormat="0" applyBorder="0" applyAlignment="0" applyProtection="0"/>
    <xf numFmtId="0" fontId="68" fillId="0" borderId="0"/>
    <xf numFmtId="0" fontId="68" fillId="0" borderId="0"/>
    <xf numFmtId="0" fontId="11" fillId="13" borderId="0" applyNumberFormat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0"/>
    <xf numFmtId="0" fontId="68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0"/>
    <xf numFmtId="0" fontId="11" fillId="71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72" borderId="0" applyNumberFormat="0" applyBorder="0" applyAlignment="0" applyProtection="0"/>
    <xf numFmtId="0" fontId="11" fillId="73" borderId="0" applyNumberFormat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71" borderId="0" applyNumberFormat="0" applyBorder="0" applyAlignment="0" applyProtection="0"/>
    <xf numFmtId="43" fontId="2" fillId="0" borderId="0" applyFont="0" applyFill="0" applyBorder="0" applyAlignment="0" applyProtection="0"/>
    <xf numFmtId="0" fontId="11" fillId="72" borderId="0" applyNumberFormat="0" applyBorder="0" applyAlignment="0" applyProtection="0"/>
    <xf numFmtId="0" fontId="11" fillId="75" borderId="0" applyNumberFormat="0" applyBorder="0" applyAlignment="0" applyProtection="0"/>
    <xf numFmtId="0" fontId="11" fillId="74" borderId="0" applyNumberFormat="0" applyBorder="0" applyAlignment="0" applyProtection="0"/>
    <xf numFmtId="0" fontId="11" fillId="13" borderId="0" applyNumberFormat="0" applyBorder="0" applyAlignment="0" applyProtection="0"/>
    <xf numFmtId="0" fontId="11" fillId="73" borderId="0" applyNumberFormat="0" applyBorder="0" applyAlignment="0" applyProtection="0"/>
    <xf numFmtId="0" fontId="11" fillId="13" borderId="0" applyNumberFormat="0" applyBorder="0" applyAlignment="0" applyProtection="0"/>
    <xf numFmtId="0" fontId="11" fillId="73" borderId="0" applyNumberFormat="0" applyBorder="0" applyAlignment="0" applyProtection="0"/>
    <xf numFmtId="0" fontId="11" fillId="75" borderId="0" applyNumberFormat="0" applyBorder="0" applyAlignment="0" applyProtection="0"/>
    <xf numFmtId="0" fontId="11" fillId="74" borderId="0" applyNumberFormat="0" applyBorder="0" applyAlignment="0" applyProtection="0"/>
    <xf numFmtId="0" fontId="11" fillId="75" borderId="0" applyNumberFormat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74" borderId="0" applyNumberFormat="0" applyBorder="0" applyAlignment="0" applyProtection="0"/>
    <xf numFmtId="0" fontId="11" fillId="71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74" borderId="0" applyNumberFormat="0" applyBorder="0" applyAlignment="0" applyProtection="0"/>
    <xf numFmtId="9" fontId="2" fillId="0" borderId="0" applyFont="0" applyFill="0" applyBorder="0" applyAlignment="0" applyProtection="0"/>
    <xf numFmtId="0" fontId="11" fillId="13" borderId="0" applyNumberFormat="0" applyBorder="0" applyAlignment="0" applyProtection="0"/>
    <xf numFmtId="0" fontId="11" fillId="75" borderId="0" applyNumberFormat="0" applyBorder="0" applyAlignment="0" applyProtection="0"/>
    <xf numFmtId="0" fontId="11" fillId="72" borderId="0" applyNumberFormat="0" applyBorder="0" applyAlignment="0" applyProtection="0"/>
    <xf numFmtId="43" fontId="2" fillId="0" borderId="0" applyFont="0" applyFill="0" applyBorder="0" applyAlignment="0" applyProtection="0"/>
    <xf numFmtId="0" fontId="11" fillId="75" borderId="0" applyNumberFormat="0" applyBorder="0" applyAlignment="0" applyProtection="0"/>
    <xf numFmtId="0" fontId="11" fillId="75" borderId="0" applyNumberFormat="0" applyBorder="0" applyAlignment="0" applyProtection="0"/>
    <xf numFmtId="0" fontId="11" fillId="73" borderId="0" applyNumberFormat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13" borderId="0" applyNumberFormat="0" applyBorder="0" applyAlignment="0" applyProtection="0"/>
    <xf numFmtId="0" fontId="11" fillId="72" borderId="0" applyNumberFormat="0" applyBorder="0" applyAlignment="0" applyProtection="0"/>
    <xf numFmtId="0" fontId="68" fillId="0" borderId="0"/>
    <xf numFmtId="9" fontId="2" fillId="0" borderId="0" applyFont="0" applyFill="0" applyBorder="0" applyAlignment="0" applyProtection="0"/>
    <xf numFmtId="0" fontId="26" fillId="0" borderId="0"/>
    <xf numFmtId="0" fontId="11" fillId="74" borderId="0" applyNumberFormat="0" applyBorder="0" applyAlignment="0" applyProtection="0"/>
    <xf numFmtId="0" fontId="68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74" borderId="0" applyNumberFormat="0" applyBorder="0" applyAlignment="0" applyProtection="0"/>
    <xf numFmtId="0" fontId="11" fillId="13" borderId="0" applyNumberFormat="0" applyBorder="0" applyAlignment="0" applyProtection="0"/>
    <xf numFmtId="0" fontId="11" fillId="73" borderId="0" applyNumberFormat="0" applyBorder="0" applyAlignment="0" applyProtection="0"/>
    <xf numFmtId="0" fontId="11" fillId="72" borderId="0" applyNumberFormat="0" applyBorder="0" applyAlignment="0" applyProtection="0"/>
    <xf numFmtId="43" fontId="2" fillId="0" borderId="0" applyFont="0" applyFill="0" applyBorder="0" applyAlignment="0" applyProtection="0"/>
    <xf numFmtId="0" fontId="68" fillId="0" borderId="0"/>
    <xf numFmtId="0" fontId="11" fillId="71" borderId="0" applyNumberFormat="0" applyBorder="0" applyAlignment="0" applyProtection="0"/>
    <xf numFmtId="9" fontId="2" fillId="0" borderId="0" applyFont="0" applyFill="0" applyBorder="0" applyAlignment="0" applyProtection="0"/>
    <xf numFmtId="0" fontId="11" fillId="73" borderId="0" applyNumberFormat="0" applyBorder="0" applyAlignment="0" applyProtection="0"/>
    <xf numFmtId="0" fontId="11" fillId="72" borderId="0" applyNumberFormat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71" borderId="0" applyNumberFormat="0" applyBorder="0" applyAlignment="0" applyProtection="0"/>
    <xf numFmtId="0" fontId="1" fillId="0" borderId="0"/>
    <xf numFmtId="0" fontId="68" fillId="0" borderId="0"/>
    <xf numFmtId="43" fontId="2" fillId="0" borderId="0" applyFont="0" applyFill="0" applyBorder="0" applyAlignment="0" applyProtection="0"/>
    <xf numFmtId="0" fontId="26" fillId="0" borderId="0"/>
    <xf numFmtId="43" fontId="2" fillId="0" borderId="0" applyFont="0" applyFill="0" applyBorder="0" applyAlignment="0" applyProtection="0"/>
    <xf numFmtId="0" fontId="26" fillId="0" borderId="0"/>
    <xf numFmtId="0" fontId="11" fillId="71" borderId="0" applyNumberFormat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6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7" fontId="67" fillId="0" borderId="0">
      <alignment vertical="top"/>
    </xf>
    <xf numFmtId="177" fontId="67" fillId="0" borderId="0">
      <alignment vertical="top"/>
    </xf>
    <xf numFmtId="177" fontId="67" fillId="0" borderId="0">
      <alignment vertical="top"/>
    </xf>
    <xf numFmtId="0" fontId="26" fillId="0" borderId="0"/>
    <xf numFmtId="177" fontId="67" fillId="0" borderId="0">
      <alignment vertical="top"/>
    </xf>
    <xf numFmtId="177" fontId="67" fillId="0" borderId="0">
      <alignment vertical="top"/>
    </xf>
    <xf numFmtId="178" fontId="8" fillId="0" borderId="0" applyFill="0" applyBorder="0" applyAlignment="0" applyProtection="0"/>
    <xf numFmtId="43" fontId="8" fillId="0" borderId="0" applyFill="0" applyBorder="0" applyAlignment="0" applyProtection="0"/>
    <xf numFmtId="0" fontId="65" fillId="0" borderId="0"/>
    <xf numFmtId="0" fontId="65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67" fillId="0" borderId="0">
      <alignment vertical="top"/>
    </xf>
    <xf numFmtId="177" fontId="67" fillId="0" borderId="0">
      <alignment vertical="top"/>
    </xf>
    <xf numFmtId="177" fontId="67" fillId="0" borderId="0">
      <alignment vertical="top"/>
    </xf>
    <xf numFmtId="43" fontId="8" fillId="0" borderId="0" applyFill="0" applyBorder="0" applyAlignment="0" applyProtection="0"/>
    <xf numFmtId="180" fontId="91" fillId="98" borderId="0">
      <alignment horizontal="center" vertical="center"/>
    </xf>
    <xf numFmtId="185" fontId="92" fillId="0" borderId="7" applyFont="0" applyFill="0">
      <alignment horizontal="right" vertical="center"/>
      <protection locked="0"/>
    </xf>
    <xf numFmtId="185" fontId="92" fillId="0" borderId="0" applyFont="0" applyBorder="0" applyProtection="0">
      <alignment vertical="center"/>
    </xf>
    <xf numFmtId="180" fontId="8" fillId="0" borderId="0" applyNumberFormat="0" applyFont="0" applyAlignment="0">
      <alignment horizontal="center" vertical="center"/>
    </xf>
    <xf numFmtId="39" fontId="93" fillId="99" borderId="0" applyNumberFormat="0" applyBorder="0">
      <alignment vertical="center"/>
    </xf>
    <xf numFmtId="0" fontId="26" fillId="0" borderId="0">
      <alignment horizontal="left"/>
    </xf>
    <xf numFmtId="181" fontId="94" fillId="100" borderId="3">
      <alignment vertical="center"/>
    </xf>
    <xf numFmtId="181" fontId="94" fillId="101" borderId="3">
      <alignment vertical="center"/>
    </xf>
    <xf numFmtId="37" fontId="95" fillId="102" borderId="3">
      <alignment horizontal="center" vertical="center"/>
    </xf>
    <xf numFmtId="183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0" fontId="8" fillId="0" borderId="0" applyNumberFormat="0" applyFont="0">
      <alignment wrapText="1"/>
    </xf>
    <xf numFmtId="179" fontId="26" fillId="54" borderId="3" applyBorder="0">
      <alignment horizontal="center" vertical="center"/>
    </xf>
    <xf numFmtId="0" fontId="93" fillId="103" borderId="3">
      <alignment horizontal="center" vertical="center" wrapText="1"/>
      <protection locked="0"/>
    </xf>
    <xf numFmtId="179" fontId="26" fillId="104" borderId="3">
      <alignment horizontal="center" vertical="center"/>
      <protection locked="0"/>
    </xf>
    <xf numFmtId="181" fontId="8" fillId="105" borderId="3">
      <alignment vertical="center"/>
    </xf>
    <xf numFmtId="180" fontId="96" fillId="106" borderId="10" applyBorder="0" applyAlignment="0">
      <alignment horizontal="left" indent="1"/>
    </xf>
    <xf numFmtId="0" fontId="97" fillId="99" borderId="3" applyFont="0" applyBorder="0" applyAlignment="0">
      <alignment horizontal="center" vertical="center"/>
    </xf>
    <xf numFmtId="0" fontId="98" fillId="99" borderId="0">
      <alignment vertical="center"/>
    </xf>
    <xf numFmtId="181" fontId="99" fillId="105" borderId="3">
      <alignment horizontal="center" vertical="center" wrapText="1"/>
      <protection locked="0"/>
    </xf>
    <xf numFmtId="0" fontId="8" fillId="0" borderId="0">
      <alignment vertical="center"/>
    </xf>
    <xf numFmtId="182" fontId="8" fillId="98" borderId="3">
      <alignment vertical="center"/>
    </xf>
    <xf numFmtId="0" fontId="8" fillId="107" borderId="0"/>
    <xf numFmtId="181" fontId="8" fillId="52" borderId="39" applyNumberFormat="0" applyFont="0" applyAlignment="0">
      <alignment horizontal="left"/>
    </xf>
    <xf numFmtId="49" fontId="100" fillId="99" borderId="3" applyNumberFormat="0" applyBorder="0">
      <alignment horizontal="center" vertical="center" wrapText="1"/>
    </xf>
    <xf numFmtId="181" fontId="101" fillId="102" borderId="17">
      <alignment horizontal="center" vertical="center"/>
    </xf>
    <xf numFmtId="0" fontId="60" fillId="108" borderId="26">
      <alignment vertical="center"/>
      <protection locked="0"/>
    </xf>
    <xf numFmtId="186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1" fontId="8" fillId="109" borderId="3" applyNumberFormat="0" applyFill="0" applyBorder="0" applyProtection="0">
      <alignment vertical="center"/>
      <protection locked="0"/>
    </xf>
    <xf numFmtId="0" fontId="102" fillId="0" borderId="0">
      <alignment horizontal="left"/>
    </xf>
    <xf numFmtId="0" fontId="103" fillId="99" borderId="0"/>
    <xf numFmtId="0" fontId="8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1" fillId="0" borderId="0"/>
  </cellStyleXfs>
  <cellXfs count="422">
    <xf numFmtId="0" fontId="0" fillId="0" borderId="0" xfId="0"/>
    <xf numFmtId="0" fontId="0" fillId="0" borderId="0" xfId="0"/>
    <xf numFmtId="0" fontId="0" fillId="0" borderId="0" xfId="0"/>
    <xf numFmtId="0" fontId="108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0" fontId="0" fillId="0" borderId="0" xfId="0" applyFont="1" applyProtection="1">
      <protection locked="0"/>
    </xf>
    <xf numFmtId="0" fontId="23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vertical="top"/>
      <protection locked="0"/>
    </xf>
    <xf numFmtId="0" fontId="0" fillId="0" borderId="0" xfId="0" applyFont="1" applyBorder="1" applyProtection="1">
      <protection locked="0"/>
    </xf>
    <xf numFmtId="0" fontId="21" fillId="0" borderId="0" xfId="0" applyFont="1" applyBorder="1" applyAlignment="1" applyProtection="1">
      <alignment vertical="center" wrapText="1"/>
      <protection locked="0"/>
    </xf>
    <xf numFmtId="0" fontId="21" fillId="0" borderId="0" xfId="0" applyFont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 applyProtection="1">
      <alignment horizontal="center" vertical="top" wrapText="1"/>
      <protection locked="0"/>
    </xf>
    <xf numFmtId="0" fontId="21" fillId="0" borderId="0" xfId="0" applyFont="1" applyAlignment="1" applyProtection="1">
      <alignment horizontal="left" vertical="center" wrapText="1"/>
      <protection locked="0"/>
    </xf>
    <xf numFmtId="0" fontId="21" fillId="0" borderId="0" xfId="0" applyFont="1" applyAlignment="1" applyProtection="1">
      <alignment horizontal="left" vertical="center" wrapText="1"/>
      <protection locked="0"/>
    </xf>
    <xf numFmtId="0" fontId="104" fillId="0" borderId="9" xfId="0" applyFont="1" applyBorder="1" applyAlignment="1">
      <alignment horizontal="center" vertical="center"/>
    </xf>
    <xf numFmtId="0" fontId="1" fillId="0" borderId="42" xfId="66" applyFont="1" applyBorder="1" applyAlignment="1">
      <alignment horizontal="center" vertical="center" wrapText="1"/>
    </xf>
    <xf numFmtId="0" fontId="1" fillId="0" borderId="7" xfId="66" applyFont="1" applyBorder="1" applyAlignment="1">
      <alignment horizontal="center" vertical="center" wrapText="1"/>
    </xf>
    <xf numFmtId="0" fontId="0" fillId="0" borderId="8" xfId="66" applyFont="1" applyFill="1" applyBorder="1" applyAlignment="1">
      <alignment horizontal="center" vertical="center" wrapText="1"/>
    </xf>
    <xf numFmtId="0" fontId="0" fillId="0" borderId="57" xfId="66" applyFont="1" applyFill="1" applyBorder="1" applyAlignment="1">
      <alignment horizontal="center" vertical="center" wrapText="1"/>
    </xf>
    <xf numFmtId="0" fontId="0" fillId="0" borderId="0" xfId="0"/>
    <xf numFmtId="43" fontId="0" fillId="0" borderId="0" xfId="0" applyNumberFormat="1" applyFont="1" applyProtection="1">
      <protection locked="0"/>
    </xf>
    <xf numFmtId="0" fontId="109" fillId="0" borderId="0" xfId="0" applyFont="1" applyAlignment="1">
      <alignment horizontal="center"/>
    </xf>
    <xf numFmtId="0" fontId="112" fillId="0" borderId="7" xfId="0" applyFont="1" applyBorder="1" applyAlignment="1">
      <alignment horizontal="center" vertical="center" wrapText="1"/>
    </xf>
    <xf numFmtId="0" fontId="118" fillId="0" borderId="50" xfId="66" applyFont="1" applyFill="1" applyBorder="1" applyAlignment="1">
      <alignment horizontal="center" vertical="center" wrapText="1"/>
    </xf>
    <xf numFmtId="0" fontId="110" fillId="0" borderId="52" xfId="0" applyFont="1" applyFill="1" applyBorder="1" applyAlignment="1">
      <alignment horizontal="center" vertical="center" wrapText="1"/>
    </xf>
    <xf numFmtId="49" fontId="115" fillId="112" borderId="3" xfId="0" applyNumberFormat="1" applyFont="1" applyFill="1" applyBorder="1" applyAlignment="1">
      <alignment horizontal="center" vertical="center"/>
    </xf>
    <xf numFmtId="0" fontId="112" fillId="112" borderId="3" xfId="0" applyFont="1" applyFill="1" applyBorder="1" applyAlignment="1">
      <alignment horizontal="center" vertical="center"/>
    </xf>
    <xf numFmtId="188" fontId="112" fillId="0" borderId="3" xfId="1836" applyNumberFormat="1" applyFont="1" applyBorder="1" applyAlignment="1">
      <alignment horizontal="center" vertical="center"/>
    </xf>
    <xf numFmtId="0" fontId="112" fillId="0" borderId="42" xfId="0" applyFont="1" applyBorder="1" applyAlignment="1">
      <alignment horizontal="center" vertical="center" wrapText="1"/>
    </xf>
    <xf numFmtId="49" fontId="112" fillId="0" borderId="7" xfId="0" applyNumberFormat="1" applyFont="1" applyBorder="1" applyAlignment="1">
      <alignment horizontal="center" vertical="center" wrapText="1"/>
    </xf>
    <xf numFmtId="0" fontId="112" fillId="0" borderId="7" xfId="0" applyFont="1" applyFill="1" applyBorder="1" applyAlignment="1">
      <alignment horizontal="center" vertical="center" wrapText="1"/>
    </xf>
    <xf numFmtId="49" fontId="115" fillId="110" borderId="9" xfId="0" applyNumberFormat="1" applyFont="1" applyFill="1" applyBorder="1" applyAlignment="1">
      <alignment horizontal="center" vertical="center" wrapText="1"/>
    </xf>
    <xf numFmtId="49" fontId="115" fillId="112" borderId="3" xfId="0" applyNumberFormat="1" applyFont="1" applyFill="1" applyBorder="1" applyAlignment="1">
      <alignment horizontal="center" vertical="center" wrapText="1"/>
    </xf>
    <xf numFmtId="49" fontId="115" fillId="110" borderId="3" xfId="0" applyNumberFormat="1" applyFont="1" applyFill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/>
    </xf>
    <xf numFmtId="0" fontId="1" fillId="0" borderId="58" xfId="66" applyFont="1" applyBorder="1" applyAlignment="1">
      <alignment horizontal="center" vertical="center" wrapText="1"/>
    </xf>
    <xf numFmtId="0" fontId="0" fillId="0" borderId="43" xfId="66" applyFont="1" applyBorder="1" applyAlignment="1">
      <alignment horizontal="center" vertical="center" wrapText="1"/>
    </xf>
    <xf numFmtId="10" fontId="90" fillId="0" borderId="3" xfId="0" applyNumberFormat="1" applyFont="1" applyBorder="1" applyAlignment="1">
      <alignment horizontal="center" vertical="center" wrapText="1"/>
    </xf>
    <xf numFmtId="43" fontId="112" fillId="0" borderId="3" xfId="1836" applyFont="1" applyBorder="1" applyAlignment="1">
      <alignment horizontal="center" vertical="center"/>
    </xf>
    <xf numFmtId="0" fontId="112" fillId="112" borderId="3" xfId="0" applyFont="1" applyFill="1" applyBorder="1" applyAlignment="1">
      <alignment horizontal="center" vertical="center" wrapText="1"/>
    </xf>
    <xf numFmtId="193" fontId="0" fillId="0" borderId="3" xfId="1836" applyNumberFormat="1" applyFont="1" applyFill="1" applyBorder="1" applyAlignment="1">
      <alignment horizontal="center" vertical="center" wrapText="1"/>
    </xf>
    <xf numFmtId="0" fontId="112" fillId="110" borderId="9" xfId="0" applyFont="1" applyFill="1" applyBorder="1" applyAlignment="1">
      <alignment horizontal="center" vertical="center" wrapText="1"/>
    </xf>
    <xf numFmtId="0" fontId="115" fillId="110" borderId="9" xfId="0" applyFont="1" applyFill="1" applyBorder="1" applyAlignment="1">
      <alignment horizontal="center" vertical="center" wrapText="1"/>
    </xf>
    <xf numFmtId="43" fontId="112" fillId="114" borderId="3" xfId="0" applyNumberFormat="1" applyFont="1" applyFill="1" applyBorder="1" applyAlignment="1">
      <alignment horizontal="center" vertical="center"/>
    </xf>
    <xf numFmtId="43" fontId="112" fillId="112" borderId="3" xfId="0" applyNumberFormat="1" applyFont="1" applyFill="1" applyBorder="1" applyAlignment="1">
      <alignment horizontal="center" vertical="center"/>
    </xf>
    <xf numFmtId="191" fontId="112" fillId="112" borderId="3" xfId="0" applyNumberFormat="1" applyFont="1" applyFill="1" applyBorder="1" applyAlignment="1">
      <alignment horizontal="center" vertical="center"/>
    </xf>
    <xf numFmtId="0" fontId="112" fillId="0" borderId="0" xfId="0" applyFont="1" applyAlignment="1">
      <alignment horizontal="center" vertical="center"/>
    </xf>
    <xf numFmtId="0" fontId="115" fillId="110" borderId="3" xfId="0" applyFont="1" applyFill="1" applyBorder="1" applyAlignment="1">
      <alignment horizontal="center" vertical="center" wrapText="1"/>
    </xf>
    <xf numFmtId="0" fontId="115" fillId="0" borderId="0" xfId="0" applyFont="1" applyAlignment="1">
      <alignment horizontal="center" vertical="center"/>
    </xf>
    <xf numFmtId="49" fontId="112" fillId="0" borderId="0" xfId="0" applyNumberFormat="1" applyFont="1" applyAlignment="1">
      <alignment horizontal="center" vertical="center"/>
    </xf>
    <xf numFmtId="0" fontId="112" fillId="110" borderId="9" xfId="0" applyFont="1" applyFill="1" applyBorder="1" applyAlignment="1">
      <alignment horizontal="center" vertical="center"/>
    </xf>
    <xf numFmtId="0" fontId="115" fillId="112" borderId="3" xfId="0" applyFont="1" applyFill="1" applyBorder="1" applyAlignment="1">
      <alignment horizontal="center" vertical="center"/>
    </xf>
    <xf numFmtId="49" fontId="112" fillId="0" borderId="3" xfId="1836" applyNumberFormat="1" applyFont="1" applyBorder="1" applyAlignment="1">
      <alignment horizontal="center" vertical="center"/>
    </xf>
    <xf numFmtId="43" fontId="112" fillId="0" borderId="3" xfId="1836" applyFont="1" applyBorder="1" applyAlignment="1">
      <alignment horizontal="center" vertical="center" wrapText="1"/>
    </xf>
    <xf numFmtId="49" fontId="112" fillId="112" borderId="3" xfId="0" applyNumberFormat="1" applyFont="1" applyFill="1" applyBorder="1" applyAlignment="1">
      <alignment horizontal="center" vertical="center"/>
    </xf>
    <xf numFmtId="43" fontId="112" fillId="115" borderId="3" xfId="0" applyNumberFormat="1" applyFont="1" applyFill="1" applyBorder="1" applyAlignment="1">
      <alignment horizontal="center" vertical="center"/>
    </xf>
    <xf numFmtId="43" fontId="115" fillId="115" borderId="3" xfId="0" applyNumberFormat="1" applyFont="1" applyFill="1" applyBorder="1" applyAlignment="1">
      <alignment horizontal="center" vertical="center"/>
    </xf>
    <xf numFmtId="49" fontId="112" fillId="0" borderId="3" xfId="0" applyNumberFormat="1" applyFont="1" applyBorder="1" applyAlignment="1">
      <alignment horizontal="center" vertical="center"/>
    </xf>
    <xf numFmtId="0" fontId="112" fillId="110" borderId="3" xfId="0" applyFont="1" applyFill="1" applyBorder="1" applyAlignment="1">
      <alignment horizontal="center" vertical="center"/>
    </xf>
    <xf numFmtId="49" fontId="112" fillId="111" borderId="3" xfId="0" applyNumberFormat="1" applyFont="1" applyFill="1" applyBorder="1" applyAlignment="1">
      <alignment horizontal="center" vertical="center"/>
    </xf>
    <xf numFmtId="0" fontId="115" fillId="111" borderId="3" xfId="66" applyFont="1" applyFill="1" applyBorder="1" applyAlignment="1">
      <alignment horizontal="center" vertical="center" wrapText="1"/>
    </xf>
    <xf numFmtId="49" fontId="112" fillId="0" borderId="3" xfId="0" applyNumberFormat="1" applyFont="1" applyFill="1" applyBorder="1" applyAlignment="1">
      <alignment horizontal="center" vertical="center"/>
    </xf>
    <xf numFmtId="0" fontId="115" fillId="0" borderId="3" xfId="66" applyFont="1" applyFill="1" applyBorder="1" applyAlignment="1">
      <alignment horizontal="center" vertical="center" wrapText="1"/>
    </xf>
    <xf numFmtId="0" fontId="115" fillId="0" borderId="3" xfId="66" applyFont="1" applyBorder="1" applyAlignment="1">
      <alignment horizontal="center" vertical="center" wrapText="1"/>
    </xf>
    <xf numFmtId="49" fontId="112" fillId="0" borderId="8" xfId="0" applyNumberFormat="1" applyFont="1" applyFill="1" applyBorder="1" applyAlignment="1">
      <alignment horizontal="center" vertical="center"/>
    </xf>
    <xf numFmtId="0" fontId="115" fillId="0" borderId="8" xfId="66" applyFont="1" applyBorder="1" applyAlignment="1">
      <alignment horizontal="center" vertical="center" wrapText="1"/>
    </xf>
    <xf numFmtId="0" fontId="112" fillId="0" borderId="9" xfId="0" applyFont="1" applyFill="1" applyBorder="1" applyAlignment="1">
      <alignment horizontal="center" vertical="center"/>
    </xf>
    <xf numFmtId="49" fontId="115" fillId="0" borderId="9" xfId="0" applyNumberFormat="1" applyFont="1" applyFill="1" applyBorder="1" applyAlignment="1">
      <alignment horizontal="center" vertical="center"/>
    </xf>
    <xf numFmtId="0" fontId="115" fillId="0" borderId="9" xfId="0" applyFont="1" applyFill="1" applyBorder="1" applyAlignment="1">
      <alignment horizontal="center" vertical="center"/>
    </xf>
    <xf numFmtId="0" fontId="112" fillId="0" borderId="3" xfId="0" applyFont="1" applyFill="1" applyBorder="1" applyAlignment="1">
      <alignment horizontal="center" vertical="center"/>
    </xf>
    <xf numFmtId="49" fontId="115" fillId="0" borderId="3" xfId="0" applyNumberFormat="1" applyFont="1" applyFill="1" applyBorder="1" applyAlignment="1">
      <alignment horizontal="center" vertical="center"/>
    </xf>
    <xf numFmtId="0" fontId="115" fillId="0" borderId="3" xfId="0" applyFont="1" applyFill="1" applyBorder="1" applyAlignment="1">
      <alignment horizontal="center" vertical="center"/>
    </xf>
    <xf numFmtId="49" fontId="112" fillId="0" borderId="8" xfId="0" applyNumberFormat="1" applyFont="1" applyBorder="1" applyAlignment="1">
      <alignment horizontal="center" vertical="center"/>
    </xf>
    <xf numFmtId="0" fontId="112" fillId="113" borderId="42" xfId="0" applyFont="1" applyFill="1" applyBorder="1" applyAlignment="1">
      <alignment horizontal="center" vertical="center"/>
    </xf>
    <xf numFmtId="0" fontId="112" fillId="113" borderId="7" xfId="0" applyFont="1" applyFill="1" applyBorder="1" applyAlignment="1">
      <alignment horizontal="center" vertical="center"/>
    </xf>
    <xf numFmtId="49" fontId="112" fillId="113" borderId="7" xfId="0" applyNumberFormat="1" applyFont="1" applyFill="1" applyBorder="1" applyAlignment="1">
      <alignment horizontal="center" vertical="center"/>
    </xf>
    <xf numFmtId="0" fontId="115" fillId="113" borderId="7" xfId="0" applyFont="1" applyFill="1" applyBorder="1" applyAlignment="1">
      <alignment horizontal="center" vertical="center"/>
    </xf>
    <xf numFmtId="0" fontId="112" fillId="114" borderId="0" xfId="0" applyFont="1" applyFill="1" applyAlignment="1">
      <alignment horizontal="center" vertical="center"/>
    </xf>
    <xf numFmtId="194" fontId="112" fillId="0" borderId="3" xfId="1836" applyNumberFormat="1" applyFont="1" applyBorder="1" applyAlignment="1">
      <alignment horizontal="center" vertical="center"/>
    </xf>
    <xf numFmtId="195" fontId="112" fillId="0" borderId="3" xfId="1836" applyNumberFormat="1" applyFont="1" applyBorder="1" applyAlignment="1">
      <alignment horizontal="center" vertical="center"/>
    </xf>
    <xf numFmtId="191" fontId="112" fillId="0" borderId="3" xfId="1836" applyNumberFormat="1" applyFont="1" applyBorder="1" applyAlignment="1">
      <alignment horizontal="center" vertical="center"/>
    </xf>
    <xf numFmtId="192" fontId="112" fillId="112" borderId="3" xfId="0" applyNumberFormat="1" applyFont="1" applyFill="1" applyBorder="1" applyAlignment="1">
      <alignment horizontal="center" vertical="center"/>
    </xf>
    <xf numFmtId="0" fontId="112" fillId="11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3" fontId="0" fillId="0" borderId="3" xfId="1836" applyFont="1" applyBorder="1" applyAlignment="1">
      <alignment horizontal="center" vertical="center"/>
    </xf>
    <xf numFmtId="0" fontId="114" fillId="112" borderId="3" xfId="66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93" fontId="0" fillId="0" borderId="0" xfId="0" applyNumberFormat="1" applyFont="1" applyAlignment="1">
      <alignment horizontal="center" vertical="center"/>
    </xf>
    <xf numFmtId="3" fontId="90" fillId="0" borderId="3" xfId="0" applyNumberFormat="1" applyFont="1" applyBorder="1" applyAlignment="1">
      <alignment horizontal="center" vertical="center" wrapText="1"/>
    </xf>
    <xf numFmtId="43" fontId="112" fillId="0" borderId="3" xfId="0" applyNumberFormat="1" applyFont="1" applyBorder="1" applyAlignment="1">
      <alignment horizontal="center" vertical="center"/>
    </xf>
    <xf numFmtId="199" fontId="112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9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112" fillId="0" borderId="3" xfId="0" applyFont="1" applyBorder="1" applyAlignment="1">
      <alignment horizontal="center" vertical="center" wrapText="1"/>
    </xf>
    <xf numFmtId="0" fontId="112" fillId="0" borderId="3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104" fillId="0" borderId="3" xfId="0" applyFon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10" fontId="0" fillId="0" borderId="8" xfId="0" applyNumberFormat="1" applyBorder="1" applyAlignment="1">
      <alignment horizontal="center" vertical="center" wrapText="1"/>
    </xf>
    <xf numFmtId="10" fontId="0" fillId="0" borderId="3" xfId="0" applyNumberFormat="1" applyBorder="1" applyAlignment="1">
      <alignment horizontal="center" vertical="center" wrapText="1"/>
    </xf>
    <xf numFmtId="0" fontId="0" fillId="0" borderId="3" xfId="66" applyFont="1" applyBorder="1" applyAlignment="1">
      <alignment horizontal="center" vertical="center" wrapText="1"/>
    </xf>
    <xf numFmtId="3" fontId="0" fillId="0" borderId="3" xfId="66" applyNumberFormat="1" applyFont="1" applyBorder="1" applyAlignment="1">
      <alignment horizontal="center" vertical="center" wrapText="1"/>
    </xf>
    <xf numFmtId="4" fontId="0" fillId="0" borderId="3" xfId="66" applyNumberFormat="1" applyFont="1" applyBorder="1" applyAlignment="1">
      <alignment horizontal="center" vertical="center" wrapText="1"/>
    </xf>
    <xf numFmtId="2" fontId="0" fillId="0" borderId="3" xfId="66" applyNumberFormat="1" applyFont="1" applyBorder="1" applyAlignment="1">
      <alignment horizontal="center" vertical="center" wrapText="1"/>
    </xf>
    <xf numFmtId="0" fontId="1" fillId="0" borderId="3" xfId="66" applyFont="1" applyFill="1" applyBorder="1" applyAlignment="1">
      <alignment horizontal="center" vertical="center" wrapText="1"/>
    </xf>
    <xf numFmtId="4" fontId="1" fillId="0" borderId="3" xfId="66" applyNumberFormat="1" applyFont="1" applyFill="1" applyBorder="1" applyAlignment="1">
      <alignment horizontal="center" vertical="center" wrapText="1"/>
    </xf>
    <xf numFmtId="0" fontId="0" fillId="0" borderId="3" xfId="66" applyFont="1" applyFill="1" applyBorder="1" applyAlignment="1">
      <alignment horizontal="center" vertical="center" wrapText="1"/>
    </xf>
    <xf numFmtId="9" fontId="0" fillId="0" borderId="3" xfId="66" applyNumberFormat="1" applyFont="1" applyFill="1" applyBorder="1" applyAlignment="1">
      <alignment horizontal="center" vertical="center" wrapText="1"/>
    </xf>
    <xf numFmtId="189" fontId="104" fillId="114" borderId="3" xfId="1836" applyNumberFormat="1" applyFont="1" applyFill="1" applyBorder="1" applyAlignment="1" applyProtection="1">
      <alignment horizontal="center" vertical="center"/>
    </xf>
    <xf numFmtId="0" fontId="22" fillId="0" borderId="0" xfId="0" applyFont="1" applyAlignment="1">
      <alignment horizontal="center" vertical="center"/>
    </xf>
    <xf numFmtId="0" fontId="115" fillId="0" borderId="9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/>
    </xf>
    <xf numFmtId="0" fontId="118" fillId="0" borderId="3" xfId="0" applyFont="1" applyBorder="1" applyAlignment="1">
      <alignment horizontal="center" vertical="center" wrapText="1"/>
    </xf>
    <xf numFmtId="0" fontId="115" fillId="0" borderId="3" xfId="0" applyFont="1" applyBorder="1" applyAlignment="1">
      <alignment horizontal="center" vertical="center" wrapText="1"/>
    </xf>
    <xf numFmtId="0" fontId="118" fillId="112" borderId="3" xfId="66" applyFont="1" applyFill="1" applyBorder="1" applyAlignment="1">
      <alignment horizontal="center" vertical="center" wrapText="1"/>
    </xf>
    <xf numFmtId="0" fontId="118" fillId="0" borderId="3" xfId="66" applyFont="1" applyBorder="1" applyAlignment="1">
      <alignment horizontal="center" vertical="center" wrapText="1"/>
    </xf>
    <xf numFmtId="4" fontId="90" fillId="0" borderId="3" xfId="0" applyNumberFormat="1" applyFont="1" applyBorder="1" applyAlignment="1">
      <alignment horizontal="center" vertical="center" wrapText="1"/>
    </xf>
    <xf numFmtId="201" fontId="112" fillId="114" borderId="3" xfId="0" applyNumberFormat="1" applyFont="1" applyFill="1" applyBorder="1" applyAlignment="1">
      <alignment horizontal="center" vertical="center"/>
    </xf>
    <xf numFmtId="192" fontId="0" fillId="0" borderId="0" xfId="0" applyNumberFormat="1" applyFont="1" applyAlignment="1">
      <alignment horizontal="center" vertical="center"/>
    </xf>
    <xf numFmtId="190" fontId="112" fillId="114" borderId="3" xfId="0" applyNumberFormat="1" applyFont="1" applyFill="1" applyBorder="1" applyAlignment="1">
      <alignment horizontal="center" vertical="center"/>
    </xf>
    <xf numFmtId="193" fontId="112" fillId="0" borderId="3" xfId="1836" applyNumberFormat="1" applyFont="1" applyBorder="1" applyAlignment="1">
      <alignment horizontal="center" vertical="center"/>
    </xf>
    <xf numFmtId="193" fontId="112" fillId="114" borderId="3" xfId="0" applyNumberFormat="1" applyFont="1" applyFill="1" applyBorder="1" applyAlignment="1">
      <alignment horizontal="center" vertical="center"/>
    </xf>
    <xf numFmtId="193" fontId="112" fillId="112" borderId="3" xfId="0" applyNumberFormat="1" applyFont="1" applyFill="1" applyBorder="1" applyAlignment="1">
      <alignment horizontal="center" vertical="center"/>
    </xf>
    <xf numFmtId="194" fontId="112" fillId="114" borderId="3" xfId="0" applyNumberFormat="1" applyFont="1" applyFill="1" applyBorder="1" applyAlignment="1">
      <alignment horizontal="center" vertical="center"/>
    </xf>
    <xf numFmtId="195" fontId="112" fillId="114" borderId="3" xfId="0" applyNumberFormat="1" applyFont="1" applyFill="1" applyBorder="1" applyAlignment="1">
      <alignment horizontal="center" vertical="center"/>
    </xf>
    <xf numFmtId="202" fontId="112" fillId="114" borderId="3" xfId="0" applyNumberFormat="1" applyFont="1" applyFill="1" applyBorder="1" applyAlignment="1">
      <alignment horizontal="center" vertical="center"/>
    </xf>
    <xf numFmtId="193" fontId="0" fillId="0" borderId="3" xfId="1836" applyNumberFormat="1" applyFont="1" applyBorder="1" applyAlignment="1">
      <alignment horizontal="center" vertical="center"/>
    </xf>
    <xf numFmtId="203" fontId="112" fillId="112" borderId="3" xfId="0" applyNumberFormat="1" applyFont="1" applyFill="1" applyBorder="1" applyAlignment="1">
      <alignment horizontal="center" vertical="center"/>
    </xf>
    <xf numFmtId="194" fontId="112" fillId="0" borderId="0" xfId="0" applyNumberFormat="1" applyFont="1" applyAlignment="1">
      <alignment horizontal="center" vertical="center"/>
    </xf>
    <xf numFmtId="193" fontId="112" fillId="112" borderId="3" xfId="1836" applyNumberFormat="1" applyFont="1" applyFill="1" applyBorder="1" applyAlignment="1">
      <alignment horizontal="center" vertical="center"/>
    </xf>
    <xf numFmtId="193" fontId="112" fillId="114" borderId="7" xfId="0" applyNumberFormat="1" applyFont="1" applyFill="1" applyBorder="1" applyAlignment="1">
      <alignment horizontal="center" vertical="center"/>
    </xf>
    <xf numFmtId="193" fontId="112" fillId="113" borderId="7" xfId="0" applyNumberFormat="1" applyFont="1" applyFill="1" applyBorder="1" applyAlignment="1">
      <alignment horizontal="center" vertical="center"/>
    </xf>
    <xf numFmtId="193" fontId="112" fillId="113" borderId="58" xfId="0" applyNumberFormat="1" applyFont="1" applyFill="1" applyBorder="1" applyAlignment="1">
      <alignment horizontal="center" vertical="center"/>
    </xf>
    <xf numFmtId="193" fontId="112" fillId="113" borderId="43" xfId="0" applyNumberFormat="1" applyFont="1" applyFill="1" applyBorder="1" applyAlignment="1">
      <alignment horizontal="center" vertical="center"/>
    </xf>
    <xf numFmtId="0" fontId="104" fillId="0" borderId="0" xfId="0" applyFont="1" applyAlignment="1">
      <alignment horizontal="center" vertical="center"/>
    </xf>
    <xf numFmtId="193" fontId="112" fillId="0" borderId="3" xfId="1836" applyNumberFormat="1" applyFont="1" applyFill="1" applyBorder="1" applyAlignment="1">
      <alignment horizontal="center" vertical="center"/>
    </xf>
    <xf numFmtId="193" fontId="112" fillId="0" borderId="0" xfId="0" applyNumberFormat="1" applyFont="1" applyAlignment="1">
      <alignment horizontal="center" vertical="center"/>
    </xf>
    <xf numFmtId="193" fontId="112" fillId="0" borderId="3" xfId="0" applyNumberFormat="1" applyFont="1" applyBorder="1" applyAlignment="1">
      <alignment horizontal="center" vertical="center"/>
    </xf>
    <xf numFmtId="195" fontId="112" fillId="112" borderId="3" xfId="0" applyNumberFormat="1" applyFont="1" applyFill="1" applyBorder="1" applyAlignment="1">
      <alignment horizontal="center" vertical="center"/>
    </xf>
    <xf numFmtId="204" fontId="112" fillId="114" borderId="3" xfId="0" applyNumberFormat="1" applyFont="1" applyFill="1" applyBorder="1" applyAlignment="1">
      <alignment horizontal="center" vertical="center"/>
    </xf>
    <xf numFmtId="0" fontId="112" fillId="0" borderId="0" xfId="0" applyFont="1" applyBorder="1" applyAlignment="1">
      <alignment horizontal="center" vertical="center"/>
    </xf>
    <xf numFmtId="194" fontId="112" fillId="112" borderId="3" xfId="0" applyNumberFormat="1" applyFont="1" applyFill="1" applyBorder="1" applyAlignment="1">
      <alignment horizontal="center" vertical="center"/>
    </xf>
    <xf numFmtId="0" fontId="21" fillId="0" borderId="0" xfId="0" applyFont="1" applyBorder="1" applyAlignment="1" applyProtection="1">
      <alignment horizontal="center" vertical="center" wrapText="1"/>
      <protection locked="0"/>
    </xf>
    <xf numFmtId="205" fontId="112" fillId="112" borderId="3" xfId="0" applyNumberFormat="1" applyFont="1" applyFill="1" applyBorder="1" applyAlignment="1">
      <alignment horizontal="center" vertical="center"/>
    </xf>
    <xf numFmtId="198" fontId="112" fillId="0" borderId="0" xfId="0" applyNumberFormat="1" applyFont="1" applyAlignment="1">
      <alignment horizontal="center" vertical="center"/>
    </xf>
    <xf numFmtId="206" fontId="112" fillId="112" borderId="0" xfId="0" applyNumberFormat="1" applyFont="1" applyFill="1" applyAlignment="1">
      <alignment horizontal="center" vertical="center"/>
    </xf>
    <xf numFmtId="43" fontId="0" fillId="114" borderId="9" xfId="1836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10" fontId="0" fillId="0" borderId="3" xfId="1837" applyNumberFormat="1" applyFont="1" applyBorder="1" applyAlignment="1">
      <alignment horizontal="center" vertical="center" wrapText="1"/>
    </xf>
    <xf numFmtId="10" fontId="0" fillId="0" borderId="3" xfId="1837" applyNumberFormat="1" applyFont="1" applyBorder="1" applyAlignment="1">
      <alignment horizontal="center" vertical="center"/>
    </xf>
    <xf numFmtId="43" fontId="0" fillId="115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 applyProtection="1">
      <alignment horizontal="left" vertical="top" wrapText="1"/>
      <protection locked="0"/>
    </xf>
    <xf numFmtId="0" fontId="21" fillId="0" borderId="0" xfId="0" applyFont="1" applyBorder="1" applyAlignment="1" applyProtection="1">
      <alignment horizontal="center" wrapText="1"/>
      <protection locked="0"/>
    </xf>
    <xf numFmtId="0" fontId="23" fillId="0" borderId="0" xfId="0" applyFont="1" applyBorder="1" applyAlignment="1" applyProtection="1">
      <alignment horizontal="left" vertical="center" wrapText="1"/>
      <protection locked="0"/>
    </xf>
    <xf numFmtId="193" fontId="112" fillId="0" borderId="3" xfId="1836" applyNumberFormat="1" applyFont="1" applyBorder="1" applyAlignment="1">
      <alignment horizontal="center" vertical="center" wrapText="1"/>
    </xf>
    <xf numFmtId="207" fontId="112" fillId="0" borderId="3" xfId="1836" applyNumberFormat="1" applyFont="1" applyBorder="1" applyAlignment="1">
      <alignment horizontal="center" vertical="center"/>
    </xf>
    <xf numFmtId="207" fontId="112" fillId="0" borderId="3" xfId="1836" applyNumberFormat="1" applyFont="1" applyBorder="1" applyAlignment="1">
      <alignment horizontal="center" vertical="center" wrapText="1"/>
    </xf>
    <xf numFmtId="196" fontId="112" fillId="112" borderId="3" xfId="0" applyNumberFormat="1" applyFont="1" applyFill="1" applyBorder="1" applyAlignment="1">
      <alignment horizontal="center" vertical="center"/>
    </xf>
    <xf numFmtId="208" fontId="112" fillId="114" borderId="3" xfId="0" applyNumberFormat="1" applyFont="1" applyFill="1" applyBorder="1" applyAlignment="1">
      <alignment horizontal="center" vertical="center"/>
    </xf>
    <xf numFmtId="208" fontId="112" fillId="115" borderId="3" xfId="0" applyNumberFormat="1" applyFont="1" applyFill="1" applyBorder="1" applyAlignment="1">
      <alignment horizontal="center" vertical="center"/>
    </xf>
    <xf numFmtId="208" fontId="112" fillId="112" borderId="3" xfId="0" applyNumberFormat="1" applyFont="1" applyFill="1" applyBorder="1" applyAlignment="1">
      <alignment horizontal="center" vertical="center"/>
    </xf>
    <xf numFmtId="0" fontId="90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90" fillId="0" borderId="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113" fillId="112" borderId="3" xfId="66" applyFont="1" applyFill="1" applyBorder="1" applyAlignment="1">
      <alignment horizontal="center" vertical="center" wrapText="1"/>
    </xf>
    <xf numFmtId="0" fontId="112" fillId="0" borderId="3" xfId="0" applyFont="1" applyBorder="1" applyAlignment="1">
      <alignment horizontal="center" vertical="center"/>
    </xf>
    <xf numFmtId="0" fontId="112" fillId="0" borderId="9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112" fillId="0" borderId="8" xfId="0" applyFont="1" applyBorder="1" applyAlignment="1">
      <alignment horizontal="center" vertical="center"/>
    </xf>
    <xf numFmtId="0" fontId="112" fillId="0" borderId="9" xfId="0" applyFont="1" applyBorder="1" applyAlignment="1">
      <alignment horizontal="center" vertical="center"/>
    </xf>
    <xf numFmtId="0" fontId="113" fillId="112" borderId="8" xfId="66" applyFont="1" applyFill="1" applyBorder="1" applyAlignment="1">
      <alignment horizontal="center" vertical="center" wrapText="1"/>
    </xf>
    <xf numFmtId="0" fontId="113" fillId="112" borderId="6" xfId="66" applyFont="1" applyFill="1" applyBorder="1" applyAlignment="1">
      <alignment horizontal="center" vertical="center" wrapText="1"/>
    </xf>
    <xf numFmtId="0" fontId="110" fillId="0" borderId="57" xfId="0" applyFont="1" applyFill="1" applyBorder="1" applyAlignment="1">
      <alignment horizontal="center" vertical="center" wrapText="1"/>
    </xf>
    <xf numFmtId="0" fontId="110" fillId="0" borderId="8" xfId="0" applyFont="1" applyFill="1" applyBorder="1" applyAlignment="1">
      <alignment horizontal="center" vertical="center" wrapText="1"/>
    </xf>
    <xf numFmtId="0" fontId="112" fillId="0" borderId="3" xfId="0" applyFont="1" applyBorder="1" applyAlignment="1">
      <alignment horizontal="center" vertical="center" wrapText="1"/>
    </xf>
    <xf numFmtId="0" fontId="110" fillId="0" borderId="50" xfId="0" applyFont="1" applyFill="1" applyBorder="1" applyAlignment="1">
      <alignment horizontal="center" vertical="center" wrapText="1"/>
    </xf>
    <xf numFmtId="0" fontId="0" fillId="0" borderId="44" xfId="66" applyFont="1" applyBorder="1" applyAlignment="1">
      <alignment horizontal="center" vertical="center" wrapText="1"/>
    </xf>
    <xf numFmtId="0" fontId="104" fillId="0" borderId="3" xfId="0" applyFont="1" applyBorder="1" applyAlignment="1">
      <alignment horizontal="center" vertical="center"/>
    </xf>
    <xf numFmtId="0" fontId="0" fillId="0" borderId="54" xfId="66" applyFont="1" applyBorder="1" applyAlignment="1">
      <alignment horizontal="center" vertical="center" wrapText="1"/>
    </xf>
    <xf numFmtId="0" fontId="112" fillId="0" borderId="3" xfId="66" applyFont="1" applyBorder="1" applyAlignment="1">
      <alignment horizontal="center" vertical="center" wrapText="1"/>
    </xf>
    <xf numFmtId="0" fontId="90" fillId="0" borderId="3" xfId="0" applyFont="1" applyFill="1" applyBorder="1" applyAlignment="1">
      <alignment horizontal="center" vertical="center" wrapText="1"/>
    </xf>
    <xf numFmtId="164" fontId="0" fillId="0" borderId="3" xfId="0" applyNumberFormat="1" applyFont="1" applyBorder="1" applyAlignment="1">
      <alignment horizontal="center" vertical="center" wrapText="1"/>
    </xf>
    <xf numFmtId="43" fontId="0" fillId="114" borderId="3" xfId="1836" applyFont="1" applyFill="1" applyBorder="1" applyAlignment="1">
      <alignment horizontal="center" vertical="center"/>
    </xf>
    <xf numFmtId="43" fontId="0" fillId="0" borderId="3" xfId="1836" applyFont="1" applyFill="1" applyBorder="1" applyAlignment="1">
      <alignment horizontal="center" vertical="center"/>
    </xf>
    <xf numFmtId="0" fontId="112" fillId="0" borderId="42" xfId="0" applyFont="1" applyBorder="1" applyAlignment="1">
      <alignment horizontal="center" vertical="center"/>
    </xf>
    <xf numFmtId="0" fontId="112" fillId="0" borderId="7" xfId="0" applyFont="1" applyBorder="1" applyAlignment="1">
      <alignment horizontal="center" vertical="center"/>
    </xf>
    <xf numFmtId="0" fontId="112" fillId="0" borderId="43" xfId="0" applyFont="1" applyBorder="1" applyAlignment="1">
      <alignment horizontal="center" vertical="center"/>
    </xf>
    <xf numFmtId="43" fontId="112" fillId="0" borderId="3" xfId="1836" applyFont="1" applyBorder="1" applyAlignment="1">
      <alignment vertical="center"/>
    </xf>
    <xf numFmtId="2" fontId="112" fillId="0" borderId="3" xfId="0" applyNumberFormat="1" applyFont="1" applyBorder="1" applyAlignment="1">
      <alignment horizontal="center" vertical="center"/>
    </xf>
    <xf numFmtId="192" fontId="112" fillId="0" borderId="3" xfId="0" applyNumberFormat="1" applyFont="1" applyBorder="1" applyAlignment="1">
      <alignment horizontal="center" vertical="center"/>
    </xf>
    <xf numFmtId="192" fontId="115" fillId="0" borderId="0" xfId="0" applyNumberFormat="1" applyFont="1" applyAlignment="1">
      <alignment horizontal="center" vertical="center"/>
    </xf>
    <xf numFmtId="0" fontId="112" fillId="0" borderId="0" xfId="0" applyFont="1" applyAlignment="1">
      <alignment horizontal="center" vertical="center" wrapText="1"/>
    </xf>
    <xf numFmtId="0" fontId="126" fillId="0" borderId="0" xfId="0" applyFont="1" applyAlignment="1">
      <alignment horizontal="center" vertical="center"/>
    </xf>
    <xf numFmtId="192" fontId="112" fillId="0" borderId="0" xfId="0" applyNumberFormat="1" applyFont="1" applyAlignment="1">
      <alignment horizontal="center" vertical="center"/>
    </xf>
    <xf numFmtId="193" fontId="115" fillId="110" borderId="3" xfId="0" applyNumberFormat="1" applyFont="1" applyFill="1" applyBorder="1" applyAlignment="1">
      <alignment horizontal="center" vertical="center"/>
    </xf>
    <xf numFmtId="193" fontId="112" fillId="110" borderId="3" xfId="0" applyNumberFormat="1" applyFont="1" applyFill="1" applyBorder="1" applyAlignment="1">
      <alignment horizontal="center" vertical="center"/>
    </xf>
    <xf numFmtId="198" fontId="115" fillId="0" borderId="0" xfId="0" applyNumberFormat="1" applyFont="1" applyAlignment="1">
      <alignment horizontal="center" vertical="center"/>
    </xf>
    <xf numFmtId="0" fontId="127" fillId="0" borderId="0" xfId="0" applyFont="1" applyFill="1" applyAlignment="1">
      <alignment horizontal="center" vertical="center"/>
    </xf>
    <xf numFmtId="0" fontId="112" fillId="0" borderId="0" xfId="0" applyFont="1" applyFill="1" applyAlignment="1">
      <alignment horizontal="center" vertical="center"/>
    </xf>
    <xf numFmtId="0" fontId="115" fillId="0" borderId="0" xfId="0" applyFont="1" applyFill="1" applyAlignment="1">
      <alignment horizontal="center" vertical="center"/>
    </xf>
    <xf numFmtId="0" fontId="115" fillId="0" borderId="0" xfId="0" applyFont="1" applyFill="1" applyBorder="1" applyAlignment="1">
      <alignment horizontal="center" vertical="center"/>
    </xf>
    <xf numFmtId="192" fontId="112" fillId="0" borderId="3" xfId="0" applyNumberFormat="1" applyFont="1" applyFill="1" applyBorder="1" applyAlignment="1">
      <alignment horizontal="center" vertical="center"/>
    </xf>
    <xf numFmtId="192" fontId="112" fillId="0" borderId="0" xfId="0" applyNumberFormat="1" applyFont="1" applyBorder="1" applyAlignment="1">
      <alignment horizontal="center" vertical="center"/>
    </xf>
    <xf numFmtId="0" fontId="112" fillId="0" borderId="8" xfId="0" applyFont="1" applyFill="1" applyBorder="1" applyAlignment="1">
      <alignment horizontal="center" vertical="center"/>
    </xf>
    <xf numFmtId="196" fontId="112" fillId="0" borderId="3" xfId="0" applyNumberFormat="1" applyFont="1" applyFill="1" applyBorder="1" applyAlignment="1">
      <alignment horizontal="center" vertical="center"/>
    </xf>
    <xf numFmtId="192" fontId="112" fillId="0" borderId="8" xfId="0" applyNumberFormat="1" applyFont="1" applyFill="1" applyBorder="1" applyAlignment="1">
      <alignment horizontal="center" vertical="center"/>
    </xf>
    <xf numFmtId="203" fontId="112" fillId="0" borderId="0" xfId="0" applyNumberFormat="1" applyFont="1" applyFill="1" applyBorder="1" applyAlignment="1">
      <alignment horizontal="center" vertical="center"/>
    </xf>
    <xf numFmtId="0" fontId="112" fillId="114" borderId="3" xfId="0" applyFont="1" applyFill="1" applyBorder="1" applyAlignment="1" applyProtection="1">
      <alignment horizontal="center" vertical="center"/>
      <protection locked="0"/>
    </xf>
    <xf numFmtId="2" fontId="112" fillId="0" borderId="0" xfId="0" applyNumberFormat="1" applyFont="1" applyAlignment="1">
      <alignment horizontal="center" vertical="center"/>
    </xf>
    <xf numFmtId="0" fontId="112" fillId="0" borderId="8" xfId="66" applyFont="1" applyBorder="1" applyAlignment="1">
      <alignment horizontal="center" vertical="center" wrapText="1"/>
    </xf>
    <xf numFmtId="0" fontId="118" fillId="0" borderId="8" xfId="66" applyFont="1" applyFill="1" applyBorder="1" applyAlignment="1">
      <alignment horizontal="center" vertical="center" wrapText="1"/>
    </xf>
    <xf numFmtId="0" fontId="112" fillId="0" borderId="42" xfId="66" applyFont="1" applyFill="1" applyBorder="1" applyAlignment="1">
      <alignment horizontal="center" vertical="center" wrapText="1"/>
    </xf>
    <xf numFmtId="0" fontId="112" fillId="0" borderId="7" xfId="66" applyFont="1" applyFill="1" applyBorder="1" applyAlignment="1">
      <alignment horizontal="center" vertical="center" wrapText="1"/>
    </xf>
    <xf numFmtId="0" fontId="112" fillId="0" borderId="43" xfId="66" applyFont="1" applyFill="1" applyBorder="1" applyAlignment="1">
      <alignment horizontal="center" vertical="center" wrapText="1"/>
    </xf>
    <xf numFmtId="193" fontId="112" fillId="114" borderId="9" xfId="1836" applyNumberFormat="1" applyFont="1" applyFill="1" applyBorder="1" applyAlignment="1">
      <alignment horizontal="center" vertical="center"/>
    </xf>
    <xf numFmtId="193" fontId="112" fillId="0" borderId="9" xfId="1836" applyNumberFormat="1" applyFont="1" applyBorder="1" applyAlignment="1">
      <alignment horizontal="center" vertical="center"/>
    </xf>
    <xf numFmtId="43" fontId="112" fillId="114" borderId="9" xfId="1836" applyFont="1" applyFill="1" applyBorder="1" applyAlignment="1">
      <alignment horizontal="center" vertical="center"/>
    </xf>
    <xf numFmtId="189" fontId="112" fillId="114" borderId="3" xfId="1836" applyNumberFormat="1" applyFont="1" applyFill="1" applyBorder="1" applyAlignment="1" applyProtection="1">
      <alignment horizontal="center" vertical="center"/>
    </xf>
    <xf numFmtId="43" fontId="112" fillId="114" borderId="3" xfId="1836" applyFont="1" applyFill="1" applyBorder="1" applyAlignment="1">
      <alignment horizontal="center" vertical="center"/>
    </xf>
    <xf numFmtId="193" fontId="112" fillId="114" borderId="3" xfId="1836" applyNumberFormat="1" applyFont="1" applyFill="1" applyBorder="1" applyAlignment="1">
      <alignment horizontal="center" vertical="center"/>
    </xf>
    <xf numFmtId="192" fontId="112" fillId="0" borderId="3" xfId="1836" applyNumberFormat="1" applyFont="1" applyBorder="1" applyAlignment="1">
      <alignment horizontal="center" vertical="center"/>
    </xf>
    <xf numFmtId="190" fontId="112" fillId="114" borderId="3" xfId="1836" applyNumberFormat="1" applyFont="1" applyFill="1" applyBorder="1" applyAlignment="1" applyProtection="1">
      <alignment horizontal="center" vertical="center"/>
    </xf>
    <xf numFmtId="43" fontId="112" fillId="114" borderId="3" xfId="1836" applyNumberFormat="1" applyFont="1" applyFill="1" applyBorder="1" applyAlignment="1" applyProtection="1">
      <alignment horizontal="center" vertical="center"/>
    </xf>
    <xf numFmtId="2" fontId="112" fillId="114" borderId="3" xfId="1836" applyNumberFormat="1" applyFont="1" applyFill="1" applyBorder="1" applyAlignment="1" applyProtection="1">
      <alignment horizontal="center" vertical="center"/>
    </xf>
    <xf numFmtId="193" fontId="112" fillId="114" borderId="3" xfId="1836" applyNumberFormat="1" applyFont="1" applyFill="1" applyBorder="1" applyAlignment="1" applyProtection="1">
      <alignment horizontal="center" vertical="center"/>
    </xf>
    <xf numFmtId="2" fontId="112" fillId="0" borderId="3" xfId="1836" applyNumberFormat="1" applyFont="1" applyBorder="1" applyAlignment="1">
      <alignment horizontal="center" vertical="center"/>
    </xf>
    <xf numFmtId="10" fontId="112" fillId="0" borderId="3" xfId="0" applyNumberFormat="1" applyFont="1" applyBorder="1" applyAlignment="1">
      <alignment horizontal="center" vertical="center"/>
    </xf>
    <xf numFmtId="192" fontId="112" fillId="114" borderId="3" xfId="1836" applyNumberFormat="1" applyFont="1" applyFill="1" applyBorder="1" applyAlignment="1">
      <alignment horizontal="center" vertical="center"/>
    </xf>
    <xf numFmtId="10" fontId="112" fillId="0" borderId="0" xfId="0" applyNumberFormat="1" applyFont="1" applyAlignment="1">
      <alignment horizontal="center" vertical="center"/>
    </xf>
    <xf numFmtId="2" fontId="112" fillId="114" borderId="3" xfId="1836" applyNumberFormat="1" applyFont="1" applyFill="1" applyBorder="1" applyAlignment="1">
      <alignment horizontal="center" vertical="center"/>
    </xf>
    <xf numFmtId="2" fontId="113" fillId="112" borderId="3" xfId="66" applyNumberFormat="1" applyFont="1" applyFill="1" applyBorder="1" applyAlignment="1">
      <alignment horizontal="center" vertical="center" wrapText="1"/>
    </xf>
    <xf numFmtId="43" fontId="112" fillId="0" borderId="0" xfId="0" applyNumberFormat="1" applyFont="1" applyAlignment="1">
      <alignment horizontal="center" vertical="center"/>
    </xf>
    <xf numFmtId="196" fontId="113" fillId="112" borderId="3" xfId="66" applyNumberFormat="1" applyFont="1" applyFill="1" applyBorder="1" applyAlignment="1">
      <alignment horizontal="center" vertical="center" wrapText="1"/>
    </xf>
    <xf numFmtId="3" fontId="113" fillId="112" borderId="3" xfId="66" applyNumberFormat="1" applyFont="1" applyFill="1" applyBorder="1" applyAlignment="1">
      <alignment horizontal="center" vertical="center" wrapText="1"/>
    </xf>
    <xf numFmtId="4" fontId="113" fillId="112" borderId="3" xfId="66" applyNumberFormat="1" applyFont="1" applyFill="1" applyBorder="1" applyAlignment="1">
      <alignment horizontal="center" vertical="center" wrapText="1"/>
    </xf>
    <xf numFmtId="200" fontId="113" fillId="112" borderId="3" xfId="66" applyNumberFormat="1" applyFont="1" applyFill="1" applyBorder="1" applyAlignment="1">
      <alignment horizontal="center" vertical="center" wrapText="1"/>
    </xf>
    <xf numFmtId="200" fontId="112" fillId="114" borderId="3" xfId="1836" applyNumberFormat="1" applyFont="1" applyFill="1" applyBorder="1" applyAlignment="1">
      <alignment horizontal="center" vertical="center"/>
    </xf>
    <xf numFmtId="200" fontId="113" fillId="112" borderId="6" xfId="66" applyNumberFormat="1" applyFont="1" applyFill="1" applyBorder="1" applyAlignment="1">
      <alignment horizontal="center" vertical="center" wrapText="1"/>
    </xf>
    <xf numFmtId="0" fontId="113" fillId="112" borderId="3" xfId="0" applyFont="1" applyFill="1" applyBorder="1" applyAlignment="1">
      <alignment horizontal="center" vertical="center"/>
    </xf>
    <xf numFmtId="200" fontId="112" fillId="0" borderId="3" xfId="1836" applyNumberFormat="1" applyFont="1" applyBorder="1" applyAlignment="1">
      <alignment horizontal="center" vertical="center"/>
    </xf>
    <xf numFmtId="0" fontId="113" fillId="112" borderId="8" xfId="0" applyFont="1" applyFill="1" applyBorder="1" applyAlignment="1">
      <alignment horizontal="center" vertical="center"/>
    </xf>
    <xf numFmtId="0" fontId="0" fillId="0" borderId="9" xfId="66" applyFont="1" applyBorder="1" applyAlignment="1">
      <alignment horizontal="center" vertical="center" wrapText="1"/>
    </xf>
    <xf numFmtId="0" fontId="0" fillId="0" borderId="42" xfId="66" applyFont="1" applyBorder="1" applyAlignment="1">
      <alignment horizontal="center" vertical="center" wrapText="1"/>
    </xf>
    <xf numFmtId="0" fontId="0" fillId="0" borderId="7" xfId="66" applyFont="1" applyBorder="1" applyAlignment="1">
      <alignment horizontal="center" vertical="center" wrapText="1"/>
    </xf>
    <xf numFmtId="193" fontId="0" fillId="0" borderId="9" xfId="1836" applyNumberFormat="1" applyFont="1" applyBorder="1" applyAlignment="1">
      <alignment horizontal="center" vertical="center" wrapText="1"/>
    </xf>
    <xf numFmtId="193" fontId="0" fillId="114" borderId="9" xfId="1836" applyNumberFormat="1" applyFont="1" applyFill="1" applyBorder="1" applyAlignment="1">
      <alignment horizontal="center" vertical="center"/>
    </xf>
    <xf numFmtId="198" fontId="0" fillId="0" borderId="0" xfId="0" applyNumberFormat="1" applyFont="1" applyAlignment="1">
      <alignment horizontal="center" vertical="center"/>
    </xf>
    <xf numFmtId="193" fontId="0" fillId="0" borderId="3" xfId="1836" applyNumberFormat="1" applyFont="1" applyBorder="1" applyAlignment="1">
      <alignment horizontal="center" vertical="center" wrapText="1"/>
    </xf>
    <xf numFmtId="43" fontId="0" fillId="0" borderId="3" xfId="1836" applyFont="1" applyFill="1" applyBorder="1" applyAlignment="1">
      <alignment horizontal="center" vertical="center" wrapText="1"/>
    </xf>
    <xf numFmtId="189" fontId="104" fillId="112" borderId="3" xfId="1836" applyNumberFormat="1" applyFont="1" applyFill="1" applyBorder="1" applyAlignment="1" applyProtection="1">
      <alignment horizontal="center" vertical="center"/>
    </xf>
    <xf numFmtId="10" fontId="104" fillId="114" borderId="3" xfId="1836" applyNumberFormat="1" applyFont="1" applyFill="1" applyBorder="1" applyAlignment="1" applyProtection="1">
      <alignment horizontal="center" vertical="center"/>
    </xf>
    <xf numFmtId="0" fontId="104" fillId="0" borderId="3" xfId="66" applyFont="1" applyBorder="1" applyAlignment="1">
      <alignment horizontal="center" vertical="center" wrapText="1"/>
    </xf>
    <xf numFmtId="197" fontId="107" fillId="0" borderId="63" xfId="1838" applyNumberFormat="1" applyFont="1" applyFill="1" applyBorder="1" applyAlignment="1" applyProtection="1">
      <alignment horizontal="center" vertical="center" wrapText="1"/>
    </xf>
    <xf numFmtId="193" fontId="0" fillId="114" borderId="0" xfId="1836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89" fontId="104" fillId="114" borderId="14" xfId="1836" applyNumberFormat="1" applyFont="1" applyFill="1" applyBorder="1" applyAlignment="1" applyProtection="1">
      <alignment horizontal="center" vertical="center"/>
    </xf>
    <xf numFmtId="198" fontId="0" fillId="0" borderId="0" xfId="0" applyNumberFormat="1" applyFont="1" applyBorder="1" applyAlignment="1">
      <alignment horizontal="center" vertical="center"/>
    </xf>
    <xf numFmtId="0" fontId="104" fillId="0" borderId="0" xfId="0" applyFont="1" applyBorder="1" applyAlignment="1">
      <alignment horizontal="center" vertical="center"/>
    </xf>
    <xf numFmtId="192" fontId="104" fillId="0" borderId="0" xfId="0" applyNumberFormat="1" applyFont="1" applyBorder="1" applyAlignment="1">
      <alignment horizontal="center" vertical="center"/>
    </xf>
    <xf numFmtId="198" fontId="104" fillId="0" borderId="0" xfId="0" applyNumberFormat="1" applyFont="1" applyBorder="1" applyAlignment="1">
      <alignment horizontal="center" vertical="center"/>
    </xf>
    <xf numFmtId="43" fontId="0" fillId="114" borderId="3" xfId="1836" applyFont="1" applyFill="1" applyBorder="1" applyAlignment="1">
      <alignment horizontal="center" vertical="center" wrapText="1"/>
    </xf>
    <xf numFmtId="203" fontId="112" fillId="0" borderId="8" xfId="0" applyNumberFormat="1" applyFont="1" applyFill="1" applyBorder="1" applyAlignment="1">
      <alignment horizontal="center" vertical="center"/>
    </xf>
    <xf numFmtId="43" fontId="110" fillId="114" borderId="3" xfId="0" applyNumberFormat="1" applyFont="1" applyFill="1" applyBorder="1" applyAlignment="1">
      <alignment horizontal="center" vertical="center"/>
    </xf>
    <xf numFmtId="194" fontId="110" fillId="114" borderId="3" xfId="0" applyNumberFormat="1" applyFont="1" applyFill="1" applyBorder="1" applyAlignment="1">
      <alignment horizontal="center" vertical="center"/>
    </xf>
    <xf numFmtId="194" fontId="110" fillId="0" borderId="3" xfId="1836" applyNumberFormat="1" applyFont="1" applyBorder="1" applyAlignment="1">
      <alignment horizontal="center" vertical="center"/>
    </xf>
    <xf numFmtId="0" fontId="129" fillId="110" borderId="9" xfId="0" applyFont="1" applyFill="1" applyBorder="1" applyAlignment="1">
      <alignment horizontal="center" vertical="center" wrapText="1"/>
    </xf>
    <xf numFmtId="0" fontId="129" fillId="112" borderId="3" xfId="0" applyFont="1" applyFill="1" applyBorder="1" applyAlignment="1">
      <alignment horizontal="center" vertical="center"/>
    </xf>
    <xf numFmtId="0" fontId="130" fillId="0" borderId="3" xfId="0" applyFont="1" applyFill="1" applyBorder="1" applyAlignment="1" applyProtection="1">
      <alignment horizontal="center" vertical="center" wrapText="1"/>
      <protection locked="0"/>
    </xf>
    <xf numFmtId="43" fontId="131" fillId="0" borderId="3" xfId="1836" applyFont="1" applyBorder="1" applyAlignment="1">
      <alignment horizontal="center" vertical="center"/>
    </xf>
    <xf numFmtId="0" fontId="131" fillId="112" borderId="3" xfId="0" applyFont="1" applyFill="1" applyBorder="1" applyAlignment="1">
      <alignment horizontal="center" vertical="center"/>
    </xf>
    <xf numFmtId="0" fontId="130" fillId="116" borderId="3" xfId="0" applyFont="1" applyFill="1" applyBorder="1" applyAlignment="1" applyProtection="1">
      <alignment horizontal="center" vertical="center" wrapText="1"/>
      <protection locked="0"/>
    </xf>
    <xf numFmtId="0" fontId="131" fillId="0" borderId="3" xfId="0" applyFont="1" applyFill="1" applyBorder="1" applyAlignment="1">
      <alignment horizontal="center" vertical="center" wrapText="1"/>
    </xf>
    <xf numFmtId="0" fontId="131" fillId="112" borderId="3" xfId="0" applyFont="1" applyFill="1" applyBorder="1" applyAlignment="1">
      <alignment horizontal="center" vertical="center" wrapText="1"/>
    </xf>
    <xf numFmtId="0" fontId="129" fillId="112" borderId="3" xfId="0" applyFont="1" applyFill="1" applyBorder="1" applyAlignment="1">
      <alignment horizontal="center" vertical="center" wrapText="1"/>
    </xf>
    <xf numFmtId="0" fontId="131" fillId="0" borderId="3" xfId="0" applyFont="1" applyBorder="1" applyAlignment="1">
      <alignment horizontal="center" vertical="center" wrapText="1"/>
    </xf>
    <xf numFmtId="0" fontId="131" fillId="0" borderId="3" xfId="0" applyFont="1" applyBorder="1" applyAlignment="1">
      <alignment horizontal="center" vertical="center"/>
    </xf>
    <xf numFmtId="0" fontId="129" fillId="110" borderId="3" xfId="0" applyFont="1" applyFill="1" applyBorder="1" applyAlignment="1">
      <alignment horizontal="center" vertical="center" wrapText="1"/>
    </xf>
    <xf numFmtId="0" fontId="129" fillId="111" borderId="3" xfId="66" applyFont="1" applyFill="1" applyBorder="1" applyAlignment="1">
      <alignment horizontal="center" vertical="center" wrapText="1"/>
    </xf>
    <xf numFmtId="0" fontId="129" fillId="112" borderId="3" xfId="66" applyFont="1" applyFill="1" applyBorder="1" applyAlignment="1">
      <alignment horizontal="center" vertical="center" wrapText="1"/>
    </xf>
    <xf numFmtId="0" fontId="129" fillId="0" borderId="3" xfId="66" applyFont="1" applyFill="1" applyBorder="1" applyAlignment="1">
      <alignment horizontal="center" vertical="center" wrapText="1"/>
    </xf>
    <xf numFmtId="0" fontId="129" fillId="0" borderId="3" xfId="66" applyFont="1" applyBorder="1" applyAlignment="1">
      <alignment horizontal="center" vertical="center" wrapText="1"/>
    </xf>
    <xf numFmtId="0" fontId="132" fillId="0" borderId="0" xfId="0" applyFont="1" applyAlignment="1">
      <alignment vertical="center"/>
    </xf>
    <xf numFmtId="4" fontId="0" fillId="0" borderId="3" xfId="66" applyNumberFormat="1" applyFont="1" applyFill="1" applyBorder="1" applyAlignment="1">
      <alignment horizontal="center" vertical="center" wrapText="1"/>
    </xf>
    <xf numFmtId="193" fontId="131" fillId="114" borderId="3" xfId="0" applyNumberFormat="1" applyFont="1" applyFill="1" applyBorder="1" applyAlignment="1">
      <alignment horizontal="center" vertical="center"/>
    </xf>
    <xf numFmtId="193" fontId="131" fillId="112" borderId="3" xfId="0" applyNumberFormat="1" applyFont="1" applyFill="1" applyBorder="1" applyAlignment="1">
      <alignment horizontal="center" vertical="center"/>
    </xf>
    <xf numFmtId="193" fontId="131" fillId="0" borderId="9" xfId="1836" applyNumberFormat="1" applyFont="1" applyBorder="1" applyAlignment="1">
      <alignment horizontal="center" vertical="center"/>
    </xf>
    <xf numFmtId="193" fontId="131" fillId="0" borderId="3" xfId="1836" applyNumberFormat="1" applyFont="1" applyBorder="1" applyAlignment="1">
      <alignment horizontal="center" vertical="center"/>
    </xf>
    <xf numFmtId="193" fontId="133" fillId="0" borderId="3" xfId="1836" applyNumberFormat="1" applyFont="1" applyBorder="1" applyAlignment="1">
      <alignment horizontal="center" vertical="center"/>
    </xf>
    <xf numFmtId="0" fontId="134" fillId="0" borderId="0" xfId="0" applyFont="1" applyAlignment="1">
      <alignment vertical="center"/>
    </xf>
    <xf numFmtId="0" fontId="135" fillId="0" borderId="0" xfId="0" applyFont="1" applyAlignment="1">
      <alignment horizontal="center" vertical="center"/>
    </xf>
    <xf numFmtId="0" fontId="21" fillId="0" borderId="11" xfId="0" applyFont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 applyProtection="1">
      <alignment horizontal="center" vertical="top" wrapText="1"/>
      <protection locked="0"/>
    </xf>
    <xf numFmtId="0" fontId="21" fillId="0" borderId="0" xfId="0" applyFont="1" applyAlignment="1" applyProtection="1">
      <alignment horizontal="left" vertical="center" wrapText="1"/>
      <protection locked="0"/>
    </xf>
    <xf numFmtId="0" fontId="23" fillId="0" borderId="13" xfId="0" applyFont="1" applyBorder="1" applyAlignment="1" applyProtection="1">
      <alignment horizontal="center" vertical="top" wrapText="1"/>
      <protection locked="0"/>
    </xf>
    <xf numFmtId="0" fontId="21" fillId="0" borderId="11" xfId="0" applyFont="1" applyBorder="1" applyAlignment="1" applyProtection="1">
      <alignment horizontal="center" wrapText="1"/>
      <protection locked="0"/>
    </xf>
    <xf numFmtId="0" fontId="11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90" fillId="0" borderId="3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4" fillId="36" borderId="3" xfId="0" applyFont="1" applyFill="1" applyBorder="1" applyAlignment="1" applyProtection="1">
      <alignment horizontal="center" vertical="center" wrapText="1"/>
      <protection locked="0"/>
    </xf>
    <xf numFmtId="0" fontId="21" fillId="0" borderId="3" xfId="0" applyFont="1" applyFill="1" applyBorder="1" applyAlignment="1">
      <alignment horizontal="center" vertical="center" wrapText="1"/>
    </xf>
    <xf numFmtId="0" fontId="110" fillId="0" borderId="3" xfId="0" applyFont="1" applyFill="1" applyBorder="1" applyAlignment="1">
      <alignment horizontal="left" vertical="center" wrapText="1"/>
    </xf>
    <xf numFmtId="0" fontId="23" fillId="0" borderId="0" xfId="0" applyFont="1" applyAlignment="1" applyProtection="1">
      <alignment horizontal="center" vertical="top" wrapText="1"/>
      <protection locked="0"/>
    </xf>
    <xf numFmtId="0" fontId="110" fillId="0" borderId="0" xfId="0" applyFont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horizontal="center" vertical="center" wrapText="1"/>
      <protection locked="0"/>
    </xf>
    <xf numFmtId="0" fontId="110" fillId="0" borderId="11" xfId="0" applyFont="1" applyBorder="1" applyAlignment="1" applyProtection="1">
      <alignment horizontal="center" vertical="center" wrapText="1"/>
      <protection locked="0"/>
    </xf>
    <xf numFmtId="0" fontId="110" fillId="0" borderId="13" xfId="0" applyFont="1" applyBorder="1" applyAlignment="1" applyProtection="1">
      <alignment horizontal="center" vertical="top" wrapText="1"/>
      <protection locked="0"/>
    </xf>
    <xf numFmtId="0" fontId="21" fillId="0" borderId="0" xfId="0" applyFont="1" applyAlignment="1" applyProtection="1">
      <alignment horizontal="center" vertical="center" wrapText="1"/>
      <protection locked="0"/>
    </xf>
    <xf numFmtId="0" fontId="111" fillId="0" borderId="0" xfId="0" applyFont="1" applyAlignment="1" applyProtection="1">
      <alignment horizontal="center" wrapText="1"/>
      <protection locked="0"/>
    </xf>
    <xf numFmtId="0" fontId="0" fillId="0" borderId="0" xfId="0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113" fillId="112" borderId="3" xfId="66" applyFont="1" applyFill="1" applyBorder="1" applyAlignment="1">
      <alignment horizontal="center" vertical="center" wrapText="1"/>
    </xf>
    <xf numFmtId="0" fontId="112" fillId="0" borderId="46" xfId="66" applyFont="1" applyBorder="1" applyAlignment="1">
      <alignment horizontal="center" vertical="center" wrapText="1"/>
    </xf>
    <xf numFmtId="0" fontId="112" fillId="0" borderId="47" xfId="66" applyFont="1" applyBorder="1" applyAlignment="1">
      <alignment horizontal="center" vertical="center" wrapText="1"/>
    </xf>
    <xf numFmtId="0" fontId="113" fillId="112" borderId="8" xfId="0" applyFont="1" applyFill="1" applyBorder="1" applyAlignment="1">
      <alignment horizontal="center" vertical="center" wrapText="1"/>
    </xf>
    <xf numFmtId="0" fontId="113" fillId="112" borderId="9" xfId="0" applyFont="1" applyFill="1" applyBorder="1" applyAlignment="1">
      <alignment horizontal="center" vertical="center" wrapText="1"/>
    </xf>
    <xf numFmtId="0" fontId="110" fillId="0" borderId="46" xfId="66" applyFont="1" applyBorder="1" applyAlignment="1">
      <alignment horizontal="center" vertical="center"/>
    </xf>
    <xf numFmtId="0" fontId="110" fillId="0" borderId="47" xfId="66" applyFont="1" applyBorder="1" applyAlignment="1">
      <alignment horizontal="center" vertical="center"/>
    </xf>
    <xf numFmtId="0" fontId="112" fillId="0" borderId="44" xfId="66" applyFont="1" applyBorder="1" applyAlignment="1">
      <alignment horizontal="center" vertical="center" wrapText="1"/>
    </xf>
    <xf numFmtId="0" fontId="112" fillId="0" borderId="8" xfId="66" applyFont="1" applyBorder="1" applyAlignment="1">
      <alignment horizontal="center" vertical="center" wrapText="1"/>
    </xf>
    <xf numFmtId="0" fontId="112" fillId="0" borderId="8" xfId="0" applyFont="1" applyBorder="1" applyAlignment="1">
      <alignment horizontal="center" vertical="center" wrapText="1"/>
    </xf>
    <xf numFmtId="0" fontId="112" fillId="0" borderId="9" xfId="0" applyFont="1" applyBorder="1" applyAlignment="1">
      <alignment horizontal="center" vertical="center" wrapText="1"/>
    </xf>
    <xf numFmtId="0" fontId="110" fillId="112" borderId="44" xfId="66" applyFont="1" applyFill="1" applyBorder="1" applyAlignment="1">
      <alignment horizontal="center" vertical="center"/>
    </xf>
    <xf numFmtId="0" fontId="112" fillId="0" borderId="6" xfId="0" applyFont="1" applyBorder="1" applyAlignment="1">
      <alignment horizontal="center" vertical="center" wrapText="1"/>
    </xf>
    <xf numFmtId="0" fontId="112" fillId="0" borderId="12" xfId="66" applyFont="1" applyBorder="1" applyAlignment="1">
      <alignment horizontal="center" vertical="center" wrapText="1"/>
    </xf>
    <xf numFmtId="0" fontId="112" fillId="0" borderId="56" xfId="66" applyFont="1" applyBorder="1" applyAlignment="1">
      <alignment horizontal="center" vertical="center" wrapText="1"/>
    </xf>
    <xf numFmtId="0" fontId="110" fillId="0" borderId="45" xfId="66" applyFont="1" applyBorder="1" applyAlignment="1">
      <alignment horizontal="center" vertical="center" wrapText="1"/>
    </xf>
    <xf numFmtId="0" fontId="110" fillId="0" borderId="6" xfId="66" applyFont="1" applyBorder="1" applyAlignment="1">
      <alignment horizontal="center" vertical="center" wrapText="1"/>
    </xf>
    <xf numFmtId="0" fontId="113" fillId="112" borderId="8" xfId="0" applyFont="1" applyFill="1" applyBorder="1" applyAlignment="1">
      <alignment horizontal="center" vertical="center"/>
    </xf>
    <xf numFmtId="0" fontId="113" fillId="112" borderId="9" xfId="0" applyFont="1" applyFill="1" applyBorder="1" applyAlignment="1">
      <alignment horizontal="center" vertical="center"/>
    </xf>
    <xf numFmtId="16" fontId="113" fillId="112" borderId="3" xfId="0" applyNumberFormat="1" applyFont="1" applyFill="1" applyBorder="1" applyAlignment="1">
      <alignment horizontal="center" vertical="center"/>
    </xf>
    <xf numFmtId="0" fontId="113" fillId="112" borderId="3" xfId="0" applyFont="1" applyFill="1" applyBorder="1" applyAlignment="1">
      <alignment horizontal="center" vertical="center"/>
    </xf>
    <xf numFmtId="0" fontId="112" fillId="0" borderId="8" xfId="0" applyFont="1" applyBorder="1" applyAlignment="1">
      <alignment horizontal="center" vertical="center"/>
    </xf>
    <xf numFmtId="0" fontId="112" fillId="0" borderId="9" xfId="0" applyFont="1" applyBorder="1" applyAlignment="1">
      <alignment horizontal="center" vertical="center"/>
    </xf>
    <xf numFmtId="0" fontId="114" fillId="112" borderId="8" xfId="66" applyFont="1" applyFill="1" applyBorder="1" applyAlignment="1">
      <alignment horizontal="center" vertical="center" wrapText="1"/>
    </xf>
    <xf numFmtId="0" fontId="114" fillId="112" borderId="9" xfId="66" applyFont="1" applyFill="1" applyBorder="1" applyAlignment="1">
      <alignment horizontal="center" vertical="center" wrapText="1"/>
    </xf>
    <xf numFmtId="0" fontId="113" fillId="112" borderId="8" xfId="66" applyFont="1" applyFill="1" applyBorder="1" applyAlignment="1">
      <alignment horizontal="center" vertical="center" wrapText="1"/>
    </xf>
    <xf numFmtId="0" fontId="113" fillId="112" borderId="9" xfId="66" applyFont="1" applyFill="1" applyBorder="1" applyAlignment="1">
      <alignment horizontal="center" vertical="center" wrapText="1"/>
    </xf>
    <xf numFmtId="0" fontId="113" fillId="112" borderId="6" xfId="0" applyFont="1" applyFill="1" applyBorder="1" applyAlignment="1">
      <alignment horizontal="center" vertical="center"/>
    </xf>
    <xf numFmtId="0" fontId="114" fillId="112" borderId="6" xfId="66" applyFont="1" applyFill="1" applyBorder="1" applyAlignment="1">
      <alignment horizontal="center" vertical="center" wrapText="1"/>
    </xf>
    <xf numFmtId="0" fontId="113" fillId="112" borderId="6" xfId="66" applyFont="1" applyFill="1" applyBorder="1" applyAlignment="1">
      <alignment horizontal="center" vertical="center" wrapText="1"/>
    </xf>
    <xf numFmtId="0" fontId="115" fillId="0" borderId="3" xfId="0" applyFont="1" applyFill="1" applyBorder="1" applyAlignment="1">
      <alignment horizontal="center" vertical="center"/>
    </xf>
    <xf numFmtId="0" fontId="115" fillId="0" borderId="8" xfId="0" applyFont="1" applyFill="1" applyBorder="1" applyAlignment="1">
      <alignment horizontal="center" vertical="center"/>
    </xf>
    <xf numFmtId="0" fontId="115" fillId="0" borderId="9" xfId="0" applyFont="1" applyFill="1" applyBorder="1" applyAlignment="1">
      <alignment horizontal="center" vertical="center"/>
    </xf>
    <xf numFmtId="0" fontId="115" fillId="0" borderId="11" xfId="0" applyFont="1" applyFill="1" applyBorder="1" applyAlignment="1">
      <alignment horizontal="center" vertical="center"/>
    </xf>
    <xf numFmtId="0" fontId="110" fillId="0" borderId="59" xfId="0" applyFont="1" applyFill="1" applyBorder="1" applyAlignment="1">
      <alignment horizontal="center" vertical="center" wrapText="1"/>
    </xf>
    <xf numFmtId="0" fontId="110" fillId="0" borderId="60" xfId="0" applyFont="1" applyFill="1" applyBorder="1" applyAlignment="1">
      <alignment horizontal="center" vertical="center" wrapText="1"/>
    </xf>
    <xf numFmtId="0" fontId="110" fillId="0" borderId="61" xfId="0" applyFont="1" applyFill="1" applyBorder="1" applyAlignment="1">
      <alignment horizontal="center" vertical="center" wrapText="1"/>
    </xf>
    <xf numFmtId="0" fontId="110" fillId="0" borderId="62" xfId="0" applyFont="1" applyFill="1" applyBorder="1" applyAlignment="1">
      <alignment horizontal="center" vertical="center" wrapText="1"/>
    </xf>
    <xf numFmtId="0" fontId="110" fillId="0" borderId="0" xfId="0" applyFont="1" applyFill="1" applyBorder="1" applyAlignment="1">
      <alignment horizontal="center" vertical="center" wrapText="1"/>
    </xf>
    <xf numFmtId="0" fontId="110" fillId="0" borderId="5" xfId="0" applyFont="1" applyFill="1" applyBorder="1" applyAlignment="1">
      <alignment horizontal="center" vertical="center" wrapText="1"/>
    </xf>
    <xf numFmtId="0" fontId="110" fillId="0" borderId="54" xfId="0" applyFont="1" applyFill="1" applyBorder="1" applyAlignment="1">
      <alignment horizontal="center" vertical="center" wrapText="1"/>
    </xf>
    <xf numFmtId="0" fontId="110" fillId="0" borderId="55" xfId="0" applyFont="1" applyFill="1" applyBorder="1" applyAlignment="1">
      <alignment horizontal="center" vertical="center" wrapText="1"/>
    </xf>
    <xf numFmtId="0" fontId="110" fillId="0" borderId="57" xfId="0" applyFont="1" applyFill="1" applyBorder="1" applyAlignment="1">
      <alignment horizontal="center" vertical="center" wrapText="1"/>
    </xf>
    <xf numFmtId="0" fontId="110" fillId="0" borderId="44" xfId="0" applyFont="1" applyFill="1" applyBorder="1" applyAlignment="1">
      <alignment horizontal="center" vertical="center" wrapText="1"/>
    </xf>
    <xf numFmtId="0" fontId="110" fillId="0" borderId="3" xfId="0" applyFont="1" applyFill="1" applyBorder="1" applyAlignment="1">
      <alignment horizontal="center" vertical="center" wrapText="1"/>
    </xf>
    <xf numFmtId="0" fontId="116" fillId="0" borderId="3" xfId="0" applyFont="1" applyFill="1" applyBorder="1" applyAlignment="1">
      <alignment horizontal="center" vertical="center" wrapText="1"/>
    </xf>
    <xf numFmtId="0" fontId="110" fillId="0" borderId="8" xfId="0" applyFont="1" applyFill="1" applyBorder="1" applyAlignment="1">
      <alignment horizontal="center" vertical="center" wrapText="1"/>
    </xf>
    <xf numFmtId="0" fontId="110" fillId="0" borderId="48" xfId="0" applyFont="1" applyBorder="1" applyAlignment="1">
      <alignment horizontal="center" vertical="center" wrapText="1"/>
    </xf>
    <xf numFmtId="0" fontId="110" fillId="0" borderId="15" xfId="0" applyFont="1" applyBorder="1" applyAlignment="1">
      <alignment horizontal="center" vertical="center" wrapText="1"/>
    </xf>
    <xf numFmtId="0" fontId="110" fillId="0" borderId="41" xfId="0" applyFont="1" applyBorder="1" applyAlignment="1">
      <alignment horizontal="center" vertical="center" wrapText="1"/>
    </xf>
    <xf numFmtId="0" fontId="112" fillId="0" borderId="44" xfId="0" applyFont="1" applyBorder="1" applyAlignment="1">
      <alignment horizontal="center" vertical="center" wrapText="1"/>
    </xf>
    <xf numFmtId="0" fontId="112" fillId="0" borderId="3" xfId="0" applyFont="1" applyBorder="1" applyAlignment="1">
      <alignment horizontal="center" vertical="center" wrapText="1"/>
    </xf>
    <xf numFmtId="0" fontId="110" fillId="0" borderId="45" xfId="0" applyFont="1" applyFill="1" applyBorder="1" applyAlignment="1">
      <alignment horizontal="center" vertical="center" wrapText="1"/>
    </xf>
    <xf numFmtId="0" fontId="112" fillId="0" borderId="51" xfId="0" applyFont="1" applyBorder="1" applyAlignment="1">
      <alignment horizontal="center" vertical="center" wrapText="1"/>
    </xf>
    <xf numFmtId="0" fontId="110" fillId="0" borderId="12" xfId="0" applyFont="1" applyFill="1" applyBorder="1" applyAlignment="1">
      <alignment horizontal="center" vertical="center" wrapText="1"/>
    </xf>
    <xf numFmtId="0" fontId="110" fillId="0" borderId="53" xfId="0" applyFont="1" applyFill="1" applyBorder="1" applyAlignment="1">
      <alignment horizontal="center" vertical="center" wrapText="1"/>
    </xf>
    <xf numFmtId="0" fontId="110" fillId="0" borderId="49" xfId="0" applyFont="1" applyFill="1" applyBorder="1" applyAlignment="1">
      <alignment horizontal="center" vertical="center" wrapText="1"/>
    </xf>
    <xf numFmtId="0" fontId="110" fillId="0" borderId="50" xfId="0" applyFont="1" applyFill="1" applyBorder="1" applyAlignment="1">
      <alignment horizontal="center" vertical="center" wrapText="1"/>
    </xf>
    <xf numFmtId="49" fontId="112" fillId="0" borderId="44" xfId="0" applyNumberFormat="1" applyFont="1" applyBorder="1" applyAlignment="1">
      <alignment horizontal="center" vertical="center" wrapText="1"/>
    </xf>
    <xf numFmtId="49" fontId="112" fillId="0" borderId="3" xfId="0" applyNumberFormat="1" applyFont="1" applyBorder="1" applyAlignment="1">
      <alignment horizontal="center" vertical="center" wrapText="1"/>
    </xf>
    <xf numFmtId="49" fontId="112" fillId="0" borderId="8" xfId="0" applyNumberFormat="1" applyFont="1" applyBorder="1" applyAlignment="1">
      <alignment horizontal="center" vertical="center" wrapText="1"/>
    </xf>
    <xf numFmtId="0" fontId="110" fillId="0" borderId="46" xfId="0" applyFont="1" applyFill="1" applyBorder="1" applyAlignment="1">
      <alignment horizontal="center" vertical="center" wrapText="1"/>
    </xf>
    <xf numFmtId="0" fontId="110" fillId="0" borderId="14" xfId="0" applyFont="1" applyFill="1" applyBorder="1" applyAlignment="1">
      <alignment horizontal="center" vertical="center" wrapText="1"/>
    </xf>
    <xf numFmtId="0" fontId="110" fillId="0" borderId="40" xfId="0" applyFont="1" applyFill="1" applyBorder="1" applyAlignment="1">
      <alignment horizontal="center" vertical="center" wrapText="1"/>
    </xf>
    <xf numFmtId="0" fontId="112" fillId="0" borderId="12" xfId="0" applyFont="1" applyFill="1" applyBorder="1" applyAlignment="1">
      <alignment horizontal="center" vertical="center" wrapText="1"/>
    </xf>
    <xf numFmtId="0" fontId="112" fillId="0" borderId="53" xfId="0" applyFont="1" applyFill="1" applyBorder="1" applyAlignment="1">
      <alignment horizontal="center" vertical="center" wrapText="1"/>
    </xf>
    <xf numFmtId="0" fontId="112" fillId="0" borderId="56" xfId="0" applyFont="1" applyFill="1" applyBorder="1" applyAlignment="1">
      <alignment horizontal="center" vertical="center" wrapText="1"/>
    </xf>
    <xf numFmtId="0" fontId="112" fillId="0" borderId="44" xfId="0" applyFont="1" applyFill="1" applyBorder="1" applyAlignment="1">
      <alignment horizontal="center" vertical="center" wrapText="1"/>
    </xf>
    <xf numFmtId="0" fontId="112" fillId="0" borderId="3" xfId="0" applyFont="1" applyFill="1" applyBorder="1" applyAlignment="1">
      <alignment horizontal="center" vertical="center" wrapText="1"/>
    </xf>
    <xf numFmtId="0" fontId="112" fillId="0" borderId="8" xfId="0" applyFont="1" applyFill="1" applyBorder="1" applyAlignment="1">
      <alignment horizontal="center" vertical="center" wrapText="1"/>
    </xf>
    <xf numFmtId="0" fontId="115" fillId="0" borderId="11" xfId="0" applyFont="1" applyBorder="1" applyAlignment="1">
      <alignment horizontal="center" vertical="center"/>
    </xf>
    <xf numFmtId="0" fontId="112" fillId="0" borderId="6" xfId="0" applyFont="1" applyBorder="1" applyAlignment="1">
      <alignment horizontal="center" vertical="center"/>
    </xf>
    <xf numFmtId="0" fontId="110" fillId="0" borderId="16" xfId="0" applyFont="1" applyFill="1" applyBorder="1" applyAlignment="1">
      <alignment horizontal="center" vertical="center" wrapText="1"/>
    </xf>
    <xf numFmtId="0" fontId="110" fillId="0" borderId="15" xfId="0" applyFont="1" applyFill="1" applyBorder="1" applyAlignment="1">
      <alignment horizontal="center" vertical="center" wrapText="1"/>
    </xf>
    <xf numFmtId="0" fontId="0" fillId="0" borderId="45" xfId="66" applyFont="1" applyBorder="1" applyAlignment="1">
      <alignment horizontal="center" vertical="center" wrapText="1"/>
    </xf>
    <xf numFmtId="0" fontId="0" fillId="0" borderId="6" xfId="66" applyFont="1" applyBorder="1" applyAlignment="1">
      <alignment horizontal="center" vertical="center" wrapText="1"/>
    </xf>
    <xf numFmtId="0" fontId="0" fillId="0" borderId="12" xfId="66" applyFont="1" applyBorder="1" applyAlignment="1">
      <alignment horizontal="center" vertical="center" wrapText="1"/>
    </xf>
    <xf numFmtId="0" fontId="0" fillId="0" borderId="56" xfId="66" applyFont="1" applyBorder="1" applyAlignment="1">
      <alignment horizontal="center" vertical="center" wrapText="1"/>
    </xf>
    <xf numFmtId="0" fontId="0" fillId="0" borderId="44" xfId="66" applyFont="1" applyBorder="1" applyAlignment="1">
      <alignment horizontal="center" vertical="center" wrapText="1"/>
    </xf>
    <xf numFmtId="0" fontId="0" fillId="0" borderId="8" xfId="66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04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4" fontId="104" fillId="0" borderId="3" xfId="0" applyNumberFormat="1" applyFont="1" applyBorder="1" applyAlignment="1">
      <alignment horizontal="center" vertical="center"/>
    </xf>
    <xf numFmtId="0" fontId="105" fillId="0" borderId="3" xfId="66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18" fillId="0" borderId="3" xfId="66" applyFont="1" applyBorder="1" applyAlignment="1">
      <alignment horizontal="center" vertical="center" wrapText="1"/>
    </xf>
    <xf numFmtId="0" fontId="119" fillId="0" borderId="3" xfId="66" applyFont="1" applyBorder="1" applyAlignment="1">
      <alignment horizontal="center" vertical="center" wrapText="1"/>
    </xf>
    <xf numFmtId="0" fontId="118" fillId="0" borderId="3" xfId="0" applyFont="1" applyBorder="1" applyAlignment="1">
      <alignment horizontal="center" vertical="center" wrapText="1"/>
    </xf>
    <xf numFmtId="0" fontId="11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2" xfId="66" applyFont="1" applyBorder="1" applyAlignment="1">
      <alignment horizontal="center" vertical="center" wrapText="1"/>
    </xf>
    <xf numFmtId="0" fontId="1" fillId="0" borderId="56" xfId="66" applyFont="1" applyBorder="1" applyAlignment="1">
      <alignment horizontal="center" vertical="center" wrapText="1"/>
    </xf>
    <xf numFmtId="0" fontId="1" fillId="0" borderId="44" xfId="66" applyFont="1" applyBorder="1" applyAlignment="1">
      <alignment horizontal="center" vertical="center" wrapText="1"/>
    </xf>
    <xf numFmtId="0" fontId="1" fillId="0" borderId="8" xfId="66" applyFont="1" applyBorder="1" applyAlignment="1">
      <alignment horizontal="center" vertical="center" wrapText="1"/>
    </xf>
    <xf numFmtId="0" fontId="0" fillId="0" borderId="54" xfId="66" applyFont="1" applyBorder="1" applyAlignment="1">
      <alignment horizontal="center" vertical="center" wrapText="1"/>
    </xf>
    <xf numFmtId="0" fontId="1" fillId="0" borderId="57" xfId="66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12" fillId="0" borderId="3" xfId="66" applyFont="1" applyBorder="1" applyAlignment="1">
      <alignment horizontal="center" vertical="center" wrapText="1"/>
    </xf>
  </cellXfs>
  <cellStyles count="1839">
    <cellStyle name=" 1" xfId="121"/>
    <cellStyle name="_+94 Прил. 24 2006-2010 новое с Соглашением 17.08.07" xfId="1209"/>
    <cellStyle name="_24 с ГЕНЕРАЦИЕЙ 14.02.08" xfId="1210"/>
    <cellStyle name="_3 СБОР Приложение 25 а 1 полуг" xfId="1211"/>
    <cellStyle name="_Адресная и трехлетняя программа140307" xfId="1212"/>
    <cellStyle name="_Альбом  от 25.08.06 недействующая редакция" xfId="122"/>
    <cellStyle name="_Альбом бюджетных форм   от 23.08.05" xfId="123"/>
    <cellStyle name="_Альбом бюджетных форм   от 25.08.05" xfId="124"/>
    <cellStyle name="_Альбом бюджетных форм от 18.07.06" xfId="125"/>
    <cellStyle name="_Анализ незаверш  стр-ва (Прил 1-4)" xfId="1213"/>
    <cellStyle name="_Анализ незаверш  стр-ва (Прил 1-4) (2)" xfId="1214"/>
    <cellStyle name="_АРМ_БП_РСК_V6.1.unprotec" xfId="126"/>
    <cellStyle name="_БДР 2 кв  2007 03 04" xfId="127"/>
    <cellStyle name="_БП Владимирэнерго" xfId="1215"/>
    <cellStyle name="_БП ННЭ (с облиг.)" xfId="1216"/>
    <cellStyle name="_Бюджетные формы.Расходы v.3.1" xfId="128"/>
    <cellStyle name="_Выполнение инв  программ в 2006 г 03 02 07" xfId="129"/>
    <cellStyle name="_ВЭС" xfId="130"/>
    <cellStyle name="_график c мощностями по Соглашению без НДС Ульянычев версия на 02 03 07" xfId="1217"/>
    <cellStyle name="_график c мощностями по Соглашению без НДС Ульянычев версия на 04 03 07 " xfId="1218"/>
    <cellStyle name="_График ввода 07-09" xfId="1219"/>
    <cellStyle name="_график по Соглашению без НДС Ульянычев версия на 28 02 07" xfId="1220"/>
    <cellStyle name="_Для Балаевой 23 05 07" xfId="1221"/>
    <cellStyle name="_для ФСТ 2008 версия5" xfId="1222"/>
    <cellStyle name="_Долг инв программа ( для РЭКна 2009г )" xfId="1223"/>
    <cellStyle name="_Долг инв программа ( для РЭКна 2009г ) (2)" xfId="1224"/>
    <cellStyle name="_Доп  оборудование не входящее в смету строек (29 10 09 г )" xfId="1225"/>
    <cellStyle name="_Инвест ТЗ" xfId="131"/>
    <cellStyle name="_Инвест ТЗ АВТОМАТИЗАЦИЯ  1.06.06   Ф" xfId="132"/>
    <cellStyle name="_Инвест ТЗ АВТОМАТИЗАЦИЯ  31.05.06   Ф нов" xfId="133"/>
    <cellStyle name="_Инвестиции (лизинг) для БП 2007" xfId="1226"/>
    <cellStyle name="_ИнвестКПЭ по нов методике" xfId="1227"/>
    <cellStyle name="_Инвестпрограмма на 2007г " xfId="134"/>
    <cellStyle name="_ИП для ГКПЗ 2009 - 3 (2)" xfId="1228"/>
    <cellStyle name="_ИП для ГКПЗ 2009 - 4" xfId="1229"/>
    <cellStyle name="_ИПР ОАО ЧЭ на 2005год_31.10" xfId="1230"/>
    <cellStyle name="_ИПР_ 2005" xfId="1231"/>
    <cellStyle name="_Исполнение  за 9 месяцев 2006 г для совещания 13.10." xfId="135"/>
    <cellStyle name="_Итоговый лист" xfId="1232"/>
    <cellStyle name="_Классификаторы" xfId="136"/>
    <cellStyle name="_классификаторы УБМ (изменения)" xfId="137"/>
    <cellStyle name="_Книга1" xfId="109"/>
    <cellStyle name="_Книга1 2" xfId="138"/>
    <cellStyle name="_Книга1 2 2" xfId="1558"/>
    <cellStyle name="_Книга1 3" xfId="1502"/>
    <cellStyle name="_Книга1_Копия АРМ_БП_РСК_V10 0_20100213" xfId="110"/>
    <cellStyle name="_Книга1_Копия АРМ_БП_РСК_V10 0_20100213 2" xfId="139"/>
    <cellStyle name="_Книга1_Копия АРМ_БП_РСК_V10 0_20100213 2 2" xfId="1545"/>
    <cellStyle name="_Книга1_Копия АРМ_БП_РСК_V10 0_20100213 3" xfId="1501"/>
    <cellStyle name="_Книга12 (3)" xfId="140"/>
    <cellStyle name="_Книга2" xfId="1233"/>
    <cellStyle name="_Книга3 (8)" xfId="141"/>
    <cellStyle name="_Книга3 (9)" xfId="142"/>
    <cellStyle name="_Книга5" xfId="143"/>
    <cellStyle name="_Копия Приложение 3 1 - Перегруппировка ИПР 2009 - 2011 (2)" xfId="1234"/>
    <cellStyle name="_Копия Приложение 4  (5)" xfId="1235"/>
    <cellStyle name="_Коррект. Долг инв программа ( прибыль РЭК)" xfId="1236"/>
    <cellStyle name="_КОРРЕКТИРОВКА СОГЛАШЕНИЯ 23.05.07" xfId="1237"/>
    <cellStyle name="_КПЭ вводы" xfId="1238"/>
    <cellStyle name="_Макет_Итоговый лист по анализу ИПР" xfId="1239"/>
    <cellStyle name="_Мордовэнерго_на 01.02.10_опер." xfId="1240"/>
    <cellStyle name="_Нижновэнерго" xfId="1241"/>
    <cellStyle name="_Нижновэнерго прил.24" xfId="1242"/>
    <cellStyle name="_Нижновэнерго24" xfId="1243"/>
    <cellStyle name="_опл.и выполн.янв. -нояб + декаб.оператив" xfId="1244"/>
    <cellStyle name="_отдано в РЭК сводный план ИП 2007 300606" xfId="1245"/>
    <cellStyle name="_Отражение источников" xfId="1246"/>
    <cellStyle name="_Отчёт за 3 квартал 2005_челяб" xfId="1247"/>
    <cellStyle name="_отчёт ИПР_3кв_мари" xfId="1248"/>
    <cellStyle name="_Отчет по лизингу- Приобретение оборудования" xfId="1249"/>
    <cellStyle name="_ОТЧЕТ по МРСК -12-1мес" xfId="1250"/>
    <cellStyle name="_Отчет по Чувашиия январь-ноябрь 2009год" xfId="1251"/>
    <cellStyle name="_Перегруппировка_нов формат" xfId="1252"/>
    <cellStyle name="_План ДПН на 3 кв  2008 г  Белгородэнерго (2)" xfId="144"/>
    <cellStyle name="_Потери на 4кв. 2007г." xfId="145"/>
    <cellStyle name="_Прил 4_Формат-РСК_29.11.06_new finalприм" xfId="146"/>
    <cellStyle name="_прилож.8, 8а с АДРЕСНОЙ 19.04.07" xfId="1253"/>
    <cellStyle name="_приложение  1 2007 25.12. 06" xfId="1254"/>
    <cellStyle name="_приложение 1 2007г от 24.11.06." xfId="1255"/>
    <cellStyle name="_Приложение 18.02.08 минус СКП-ГЕНЕРАЦИЯ" xfId="1256"/>
    <cellStyle name="_Приложение 1НОВАЯ" xfId="1257"/>
    <cellStyle name="_Приложение 2 Сети 110 и ниже" xfId="1258"/>
    <cellStyle name="_Приложение 4_01 02 08" xfId="1259"/>
    <cellStyle name="_Приложение 7 отчет год" xfId="1260"/>
    <cellStyle name="_Приложение ТП №26" xfId="1261"/>
    <cellStyle name="_ПриложенияОКСу" xfId="1262"/>
    <cellStyle name="_Реестр из приб на 2007г_Балаева." xfId="1263"/>
    <cellStyle name="_Сводная инвестпрограмма 2007-1" xfId="147"/>
    <cellStyle name="_Снижение ТМЦ  Z (2) (2)" xfId="148"/>
    <cellStyle name="_Справка 2007 года" xfId="1264"/>
    <cellStyle name="_СПРАВКА к совещанию 2009 г  " xfId="1265"/>
    <cellStyle name="_СПРАВКА_анализ испол ИПР в 2006 г" xfId="1266"/>
    <cellStyle name="_тех.присоединение 2008-1кв" xfId="1267"/>
    <cellStyle name="_Филиалы" xfId="1268"/>
    <cellStyle name="_ФОРМАТ БДР  новый  BDR 151208" xfId="149"/>
    <cellStyle name="_Формат ДПН (предложения ФСК) 01.02.08г. Сравнение" xfId="150"/>
    <cellStyle name="_Формат Инвестиционной программы на 2009г( сети )." xfId="1269"/>
    <cellStyle name="_Формат Инвестиционной программы на 2009г.исправл" xfId="1270"/>
    <cellStyle name="_ФОРМАТ ПЛАНА ИД НА  2009 год" xfId="151"/>
    <cellStyle name="_Формат-РСК_2007_12 02 06_м" xfId="152"/>
    <cellStyle name="’ћѓћ‚›‰" xfId="158"/>
    <cellStyle name="”ќђќ‘ћ‚›‰" xfId="153"/>
    <cellStyle name="”љ‘ђћ‚ђќќ›‰" xfId="154"/>
    <cellStyle name="„…ќ…†ќ›‰" xfId="155"/>
    <cellStyle name="‡ђѓћ‹ћ‚ћљ1" xfId="156"/>
    <cellStyle name="‡ђѓћ‹ћ‚ћљ2" xfId="157"/>
    <cellStyle name="1Normal" xfId="159"/>
    <cellStyle name="20% - Accent1" xfId="160"/>
    <cellStyle name="20% - Accent1 10" xfId="161"/>
    <cellStyle name="20% - Accent1 11" xfId="162"/>
    <cellStyle name="20% - Accent1 12" xfId="163"/>
    <cellStyle name="20% - Accent1 13" xfId="164"/>
    <cellStyle name="20% - Accent1 14" xfId="1582"/>
    <cellStyle name="20% - Accent1 2" xfId="165"/>
    <cellStyle name="20% - Accent1 3" xfId="166"/>
    <cellStyle name="20% - Accent1 4" xfId="167"/>
    <cellStyle name="20% - Accent1 5" xfId="168"/>
    <cellStyle name="20% - Accent1 6" xfId="169"/>
    <cellStyle name="20% - Accent1 7" xfId="170"/>
    <cellStyle name="20% - Accent1 8" xfId="171"/>
    <cellStyle name="20% - Accent1 9" xfId="172"/>
    <cellStyle name="20% - Accent2" xfId="173"/>
    <cellStyle name="20% - Accent2 10" xfId="174"/>
    <cellStyle name="20% - Accent2 11" xfId="175"/>
    <cellStyle name="20% - Accent2 12" xfId="176"/>
    <cellStyle name="20% - Accent2 13" xfId="177"/>
    <cellStyle name="20% - Accent2 14" xfId="1453"/>
    <cellStyle name="20% - Accent2 2" xfId="178"/>
    <cellStyle name="20% - Accent2 3" xfId="179"/>
    <cellStyle name="20% - Accent2 4" xfId="180"/>
    <cellStyle name="20% - Accent2 5" xfId="181"/>
    <cellStyle name="20% - Accent2 6" xfId="182"/>
    <cellStyle name="20% - Accent2 7" xfId="183"/>
    <cellStyle name="20% - Accent2 8" xfId="184"/>
    <cellStyle name="20% - Accent2 9" xfId="185"/>
    <cellStyle name="20% - Accent3" xfId="186"/>
    <cellStyle name="20% - Accent3 10" xfId="187"/>
    <cellStyle name="20% - Accent3 11" xfId="188"/>
    <cellStyle name="20% - Accent3 12" xfId="189"/>
    <cellStyle name="20% - Accent3 13" xfId="190"/>
    <cellStyle name="20% - Accent3 14" xfId="1454"/>
    <cellStyle name="20% - Accent3 2" xfId="191"/>
    <cellStyle name="20% - Accent3 3" xfId="192"/>
    <cellStyle name="20% - Accent3 4" xfId="193"/>
    <cellStyle name="20% - Accent3 5" xfId="194"/>
    <cellStyle name="20% - Accent3 6" xfId="195"/>
    <cellStyle name="20% - Accent3 7" xfId="196"/>
    <cellStyle name="20% - Accent3 8" xfId="197"/>
    <cellStyle name="20% - Accent3 9" xfId="198"/>
    <cellStyle name="20% - Accent4" xfId="199"/>
    <cellStyle name="20% - Accent4 10" xfId="200"/>
    <cellStyle name="20% - Accent4 11" xfId="201"/>
    <cellStyle name="20% - Accent4 12" xfId="202"/>
    <cellStyle name="20% - Accent4 13" xfId="203"/>
    <cellStyle name="20% - Accent4 14" xfId="1455"/>
    <cellStyle name="20% - Accent4 2" xfId="204"/>
    <cellStyle name="20% - Accent4 3" xfId="205"/>
    <cellStyle name="20% - Accent4 4" xfId="206"/>
    <cellStyle name="20% - Accent4 5" xfId="207"/>
    <cellStyle name="20% - Accent4 6" xfId="208"/>
    <cellStyle name="20% - Accent4 7" xfId="209"/>
    <cellStyle name="20% - Accent4 8" xfId="210"/>
    <cellStyle name="20% - Accent4 9" xfId="211"/>
    <cellStyle name="20% - Accent5" xfId="212"/>
    <cellStyle name="20% - Accent5 10" xfId="213"/>
    <cellStyle name="20% - Accent5 11" xfId="214"/>
    <cellStyle name="20% - Accent5 12" xfId="215"/>
    <cellStyle name="20% - Accent5 13" xfId="216"/>
    <cellStyle name="20% - Accent5 14" xfId="1456"/>
    <cellStyle name="20% - Accent5 2" xfId="217"/>
    <cellStyle name="20% - Accent5 3" xfId="218"/>
    <cellStyle name="20% - Accent5 4" xfId="219"/>
    <cellStyle name="20% - Accent5 5" xfId="220"/>
    <cellStyle name="20% - Accent5 6" xfId="221"/>
    <cellStyle name="20% - Accent5 7" xfId="222"/>
    <cellStyle name="20% - Accent5 8" xfId="223"/>
    <cellStyle name="20% - Accent5 9" xfId="224"/>
    <cellStyle name="20% - Accent6" xfId="225"/>
    <cellStyle name="20% - Accent6 10" xfId="226"/>
    <cellStyle name="20% - Accent6 11" xfId="227"/>
    <cellStyle name="20% - Accent6 12" xfId="228"/>
    <cellStyle name="20% - Accent6 13" xfId="229"/>
    <cellStyle name="20% - Accent6 14" xfId="1457"/>
    <cellStyle name="20% - Accent6 2" xfId="230"/>
    <cellStyle name="20% - Accent6 3" xfId="231"/>
    <cellStyle name="20% - Accent6 4" xfId="232"/>
    <cellStyle name="20% - Accent6 5" xfId="233"/>
    <cellStyle name="20% - Accent6 6" xfId="234"/>
    <cellStyle name="20% - Accent6 7" xfId="235"/>
    <cellStyle name="20% - Accent6 8" xfId="236"/>
    <cellStyle name="20% - Accent6 9" xfId="237"/>
    <cellStyle name="20% - Акцент1 2" xfId="238"/>
    <cellStyle name="20% - Акцент1 2 2" xfId="1458"/>
    <cellStyle name="20% - Акцент2 2" xfId="239"/>
    <cellStyle name="20% - Акцент2 2 2" xfId="1459"/>
    <cellStyle name="20% - Акцент3 2" xfId="240"/>
    <cellStyle name="20% - Акцент3 2 2" xfId="1460"/>
    <cellStyle name="20% - Акцент4 2" xfId="241"/>
    <cellStyle name="20% - Акцент4 2 2" xfId="1461"/>
    <cellStyle name="20% - Акцент5 2" xfId="242"/>
    <cellStyle name="20% - Акцент5 2 2" xfId="1462"/>
    <cellStyle name="20% - Акцент6 2" xfId="243"/>
    <cellStyle name="20% - Акцент6 2 2" xfId="1577"/>
    <cellStyle name="20% - Акцент6 2 2 2" xfId="1500"/>
    <cellStyle name="20% - Акцент6 3" xfId="1497"/>
    <cellStyle name="40% - Accent1" xfId="244"/>
    <cellStyle name="40% - Accent1 10" xfId="245"/>
    <cellStyle name="40% - Accent1 11" xfId="246"/>
    <cellStyle name="40% - Accent1 12" xfId="247"/>
    <cellStyle name="40% - Accent1 13" xfId="248"/>
    <cellStyle name="40% - Accent1 14" xfId="1434"/>
    <cellStyle name="40% - Accent1 2" xfId="249"/>
    <cellStyle name="40% - Accent1 3" xfId="250"/>
    <cellStyle name="40% - Accent1 4" xfId="251"/>
    <cellStyle name="40% - Accent1 5" xfId="252"/>
    <cellStyle name="40% - Accent1 6" xfId="253"/>
    <cellStyle name="40% - Accent1 7" xfId="254"/>
    <cellStyle name="40% - Accent1 8" xfId="255"/>
    <cellStyle name="40% - Accent1 9" xfId="256"/>
    <cellStyle name="40% - Accent2" xfId="257"/>
    <cellStyle name="40% - Accent2 10" xfId="258"/>
    <cellStyle name="40% - Accent2 11" xfId="259"/>
    <cellStyle name="40% - Accent2 12" xfId="260"/>
    <cellStyle name="40% - Accent2 13" xfId="261"/>
    <cellStyle name="40% - Accent2 14" xfId="1556"/>
    <cellStyle name="40% - Accent2 2" xfId="262"/>
    <cellStyle name="40% - Accent2 3" xfId="263"/>
    <cellStyle name="40% - Accent2 4" xfId="264"/>
    <cellStyle name="40% - Accent2 5" xfId="265"/>
    <cellStyle name="40% - Accent2 6" xfId="266"/>
    <cellStyle name="40% - Accent2 7" xfId="267"/>
    <cellStyle name="40% - Accent2 8" xfId="268"/>
    <cellStyle name="40% - Accent2 9" xfId="269"/>
    <cellStyle name="40% - Accent3" xfId="270"/>
    <cellStyle name="40% - Accent3 10" xfId="271"/>
    <cellStyle name="40% - Accent3 11" xfId="272"/>
    <cellStyle name="40% - Accent3 12" xfId="273"/>
    <cellStyle name="40% - Accent3 13" xfId="274"/>
    <cellStyle name="40% - Accent3 14" xfId="1557"/>
    <cellStyle name="40% - Accent3 2" xfId="275"/>
    <cellStyle name="40% - Accent3 3" xfId="276"/>
    <cellStyle name="40% - Accent3 4" xfId="277"/>
    <cellStyle name="40% - Accent3 5" xfId="278"/>
    <cellStyle name="40% - Accent3 6" xfId="279"/>
    <cellStyle name="40% - Accent3 7" xfId="280"/>
    <cellStyle name="40% - Accent3 8" xfId="281"/>
    <cellStyle name="40% - Accent3 9" xfId="282"/>
    <cellStyle name="40% - Accent4" xfId="283"/>
    <cellStyle name="40% - Accent4 10" xfId="284"/>
    <cellStyle name="40% - Accent4 11" xfId="285"/>
    <cellStyle name="40% - Accent4 12" xfId="286"/>
    <cellStyle name="40% - Accent4 13" xfId="287"/>
    <cellStyle name="40% - Accent4 14" xfId="1569"/>
    <cellStyle name="40% - Accent4 2" xfId="288"/>
    <cellStyle name="40% - Accent4 3" xfId="289"/>
    <cellStyle name="40% - Accent4 4" xfId="290"/>
    <cellStyle name="40% - Accent4 5" xfId="291"/>
    <cellStyle name="40% - Accent4 6" xfId="292"/>
    <cellStyle name="40% - Accent4 7" xfId="293"/>
    <cellStyle name="40% - Accent4 8" xfId="294"/>
    <cellStyle name="40% - Accent4 9" xfId="295"/>
    <cellStyle name="40% - Accent5" xfId="296"/>
    <cellStyle name="40% - Accent5 10" xfId="297"/>
    <cellStyle name="40% - Accent5 11" xfId="298"/>
    <cellStyle name="40% - Accent5 12" xfId="299"/>
    <cellStyle name="40% - Accent5 13" xfId="300"/>
    <cellStyle name="40% - Accent5 14" xfId="1435"/>
    <cellStyle name="40% - Accent5 2" xfId="301"/>
    <cellStyle name="40% - Accent5 3" xfId="302"/>
    <cellStyle name="40% - Accent5 4" xfId="303"/>
    <cellStyle name="40% - Accent5 5" xfId="304"/>
    <cellStyle name="40% - Accent5 6" xfId="305"/>
    <cellStyle name="40% - Accent5 7" xfId="306"/>
    <cellStyle name="40% - Accent5 8" xfId="307"/>
    <cellStyle name="40% - Accent5 9" xfId="308"/>
    <cellStyle name="40% - Accent6" xfId="309"/>
    <cellStyle name="40% - Accent6 10" xfId="310"/>
    <cellStyle name="40% - Accent6 11" xfId="311"/>
    <cellStyle name="40% - Accent6 12" xfId="312"/>
    <cellStyle name="40% - Accent6 13" xfId="313"/>
    <cellStyle name="40% - Accent6 14" xfId="1570"/>
    <cellStyle name="40% - Accent6 2" xfId="314"/>
    <cellStyle name="40% - Accent6 3" xfId="315"/>
    <cellStyle name="40% - Accent6 4" xfId="316"/>
    <cellStyle name="40% - Accent6 5" xfId="317"/>
    <cellStyle name="40% - Accent6 6" xfId="318"/>
    <cellStyle name="40% - Accent6 7" xfId="319"/>
    <cellStyle name="40% - Accent6 8" xfId="320"/>
    <cellStyle name="40% - Accent6 9" xfId="321"/>
    <cellStyle name="40% - Акцент1 2" xfId="322"/>
    <cellStyle name="40% - Акцент1 2 2" xfId="1571"/>
    <cellStyle name="40% - Акцент2 2" xfId="323"/>
    <cellStyle name="40% - Акцент2 2 2" xfId="1463"/>
    <cellStyle name="40% - Акцент3 2" xfId="324"/>
    <cellStyle name="40% - Акцент3 2 2" xfId="1464"/>
    <cellStyle name="40% - Акцент4 2" xfId="325"/>
    <cellStyle name="40% - Акцент4 2 2" xfId="1465"/>
    <cellStyle name="40% - Акцент5 2" xfId="326"/>
    <cellStyle name="40% - Акцент5 2 2" xfId="1466"/>
    <cellStyle name="40% - Акцент6 2" xfId="327"/>
    <cellStyle name="40% - Акцент6 2 2" xfId="1467"/>
    <cellStyle name="60% - Accent1" xfId="328"/>
    <cellStyle name="60% - Accent1 10" xfId="329"/>
    <cellStyle name="60% - Accent1 11" xfId="330"/>
    <cellStyle name="60% - Accent1 12" xfId="331"/>
    <cellStyle name="60% - Accent1 13" xfId="332"/>
    <cellStyle name="60% - Accent1 14" xfId="1468"/>
    <cellStyle name="60% - Accent1 2" xfId="333"/>
    <cellStyle name="60% - Accent1 3" xfId="334"/>
    <cellStyle name="60% - Accent1 4" xfId="335"/>
    <cellStyle name="60% - Accent1 5" xfId="336"/>
    <cellStyle name="60% - Accent1 6" xfId="337"/>
    <cellStyle name="60% - Accent1 7" xfId="338"/>
    <cellStyle name="60% - Accent1 8" xfId="339"/>
    <cellStyle name="60% - Accent1 9" xfId="340"/>
    <cellStyle name="60% - Accent2" xfId="341"/>
    <cellStyle name="60% - Accent2 10" xfId="342"/>
    <cellStyle name="60% - Accent2 11" xfId="343"/>
    <cellStyle name="60% - Accent2 12" xfId="344"/>
    <cellStyle name="60% - Accent2 13" xfId="345"/>
    <cellStyle name="60% - Accent2 14" xfId="1469"/>
    <cellStyle name="60% - Accent2 2" xfId="346"/>
    <cellStyle name="60% - Accent2 3" xfId="347"/>
    <cellStyle name="60% - Accent2 4" xfId="348"/>
    <cellStyle name="60% - Accent2 5" xfId="349"/>
    <cellStyle name="60% - Accent2 6" xfId="350"/>
    <cellStyle name="60% - Accent2 7" xfId="351"/>
    <cellStyle name="60% - Accent2 8" xfId="352"/>
    <cellStyle name="60% - Accent2 9" xfId="353"/>
    <cellStyle name="60% - Accent3" xfId="354"/>
    <cellStyle name="60% - Accent3 10" xfId="355"/>
    <cellStyle name="60% - Accent3 11" xfId="356"/>
    <cellStyle name="60% - Accent3 12" xfId="357"/>
    <cellStyle name="60% - Accent3 13" xfId="358"/>
    <cellStyle name="60% - Accent3 14" xfId="1470"/>
    <cellStyle name="60% - Accent3 2" xfId="359"/>
    <cellStyle name="60% - Accent3 3" xfId="360"/>
    <cellStyle name="60% - Accent3 4" xfId="361"/>
    <cellStyle name="60% - Accent3 5" xfId="362"/>
    <cellStyle name="60% - Accent3 6" xfId="363"/>
    <cellStyle name="60% - Accent3 7" xfId="364"/>
    <cellStyle name="60% - Accent3 8" xfId="365"/>
    <cellStyle name="60% - Accent3 9" xfId="366"/>
    <cellStyle name="60% - Accent4" xfId="367"/>
    <cellStyle name="60% - Accent4 10" xfId="368"/>
    <cellStyle name="60% - Accent4 11" xfId="369"/>
    <cellStyle name="60% - Accent4 12" xfId="370"/>
    <cellStyle name="60% - Accent4 13" xfId="371"/>
    <cellStyle name="60% - Accent4 14" xfId="1471"/>
    <cellStyle name="60% - Accent4 2" xfId="372"/>
    <cellStyle name="60% - Accent4 3" xfId="373"/>
    <cellStyle name="60% - Accent4 4" xfId="374"/>
    <cellStyle name="60% - Accent4 5" xfId="375"/>
    <cellStyle name="60% - Accent4 6" xfId="376"/>
    <cellStyle name="60% - Accent4 7" xfId="377"/>
    <cellStyle name="60% - Accent4 8" xfId="378"/>
    <cellStyle name="60% - Accent4 9" xfId="379"/>
    <cellStyle name="60% - Accent5" xfId="380"/>
    <cellStyle name="60% - Accent5 10" xfId="381"/>
    <cellStyle name="60% - Accent5 11" xfId="382"/>
    <cellStyle name="60% - Accent5 12" xfId="383"/>
    <cellStyle name="60% - Accent5 13" xfId="384"/>
    <cellStyle name="60% - Accent5 14" xfId="1472"/>
    <cellStyle name="60% - Accent5 2" xfId="385"/>
    <cellStyle name="60% - Accent5 3" xfId="386"/>
    <cellStyle name="60% - Accent5 4" xfId="387"/>
    <cellStyle name="60% - Accent5 5" xfId="388"/>
    <cellStyle name="60% - Accent5 6" xfId="389"/>
    <cellStyle name="60% - Accent5 7" xfId="390"/>
    <cellStyle name="60% - Accent5 8" xfId="391"/>
    <cellStyle name="60% - Accent5 9" xfId="392"/>
    <cellStyle name="60% - Accent6" xfId="393"/>
    <cellStyle name="60% - Accent6 10" xfId="394"/>
    <cellStyle name="60% - Accent6 11" xfId="395"/>
    <cellStyle name="60% - Accent6 12" xfId="396"/>
    <cellStyle name="60% - Accent6 13" xfId="397"/>
    <cellStyle name="60% - Accent6 14" xfId="1413"/>
    <cellStyle name="60% - Accent6 2" xfId="398"/>
    <cellStyle name="60% - Accent6 3" xfId="399"/>
    <cellStyle name="60% - Accent6 4" xfId="400"/>
    <cellStyle name="60% - Accent6 5" xfId="401"/>
    <cellStyle name="60% - Accent6 6" xfId="402"/>
    <cellStyle name="60% - Accent6 7" xfId="403"/>
    <cellStyle name="60% - Accent6 8" xfId="404"/>
    <cellStyle name="60% - Accent6 9" xfId="405"/>
    <cellStyle name="60% - Акцент1 2" xfId="406"/>
    <cellStyle name="60% - Акцент1 2 2" xfId="1414"/>
    <cellStyle name="60% - Акцент2 2" xfId="407"/>
    <cellStyle name="60% - Акцент2 2 2" xfId="1584"/>
    <cellStyle name="60% - Акцент3 2" xfId="408"/>
    <cellStyle name="60% - Акцент3 2 2" xfId="1572"/>
    <cellStyle name="60% - Акцент4 2" xfId="409"/>
    <cellStyle name="60% - Акцент4 2 2" xfId="1573"/>
    <cellStyle name="60% - Акцент5 2" xfId="410"/>
    <cellStyle name="60% - Акцент5 2 2" xfId="1574"/>
    <cellStyle name="60% - Акцент6 2" xfId="411"/>
    <cellStyle name="60% - Акцент6 2 2" xfId="1415"/>
    <cellStyle name="Accent1" xfId="412"/>
    <cellStyle name="Accent1 - 20%" xfId="1"/>
    <cellStyle name="Accent1 - 20% 2" xfId="1576"/>
    <cellStyle name="Accent1 - 40%" xfId="2"/>
    <cellStyle name="Accent1 - 40% 2" xfId="1620"/>
    <cellStyle name="Accent1 - 60%" xfId="3"/>
    <cellStyle name="Accent1 - 60% 2" xfId="1601"/>
    <cellStyle name="Accent1 10" xfId="413"/>
    <cellStyle name="Accent1 11" xfId="414"/>
    <cellStyle name="Accent1 12" xfId="415"/>
    <cellStyle name="Accent1 13" xfId="416"/>
    <cellStyle name="Accent1 14" xfId="1416"/>
    <cellStyle name="Accent1 15" xfId="1624"/>
    <cellStyle name="Accent1 16" xfId="1580"/>
    <cellStyle name="Accent1 17" xfId="1564"/>
    <cellStyle name="Accent1 18" xfId="1612"/>
    <cellStyle name="Accent1 19" xfId="1634"/>
    <cellStyle name="Accent1 2" xfId="417"/>
    <cellStyle name="Accent1 20" xfId="1672"/>
    <cellStyle name="Accent1 21" xfId="1643"/>
    <cellStyle name="Accent1 22" xfId="1677"/>
    <cellStyle name="Accent1 23" xfId="1636"/>
    <cellStyle name="Accent1 24" xfId="1684"/>
    <cellStyle name="Accent1 25" xfId="1658"/>
    <cellStyle name="Accent1 26" xfId="1646"/>
    <cellStyle name="Accent1 27" xfId="1715"/>
    <cellStyle name="Accent1 28" xfId="1768"/>
    <cellStyle name="Accent1 29" xfId="1733"/>
    <cellStyle name="Accent1 3" xfId="418"/>
    <cellStyle name="Accent1 30" xfId="1775"/>
    <cellStyle name="Accent1 31" xfId="1762"/>
    <cellStyle name="Accent1 32" xfId="1702"/>
    <cellStyle name="Accent1 4" xfId="419"/>
    <cellStyle name="Accent1 5" xfId="420"/>
    <cellStyle name="Accent1 6" xfId="421"/>
    <cellStyle name="Accent1 7" xfId="422"/>
    <cellStyle name="Accent1 8" xfId="423"/>
    <cellStyle name="Accent1 9" xfId="424"/>
    <cellStyle name="Accent2" xfId="425"/>
    <cellStyle name="Accent2 - 20%" xfId="4"/>
    <cellStyle name="Accent2 - 20% 2" xfId="1600"/>
    <cellStyle name="Accent2 - 40%" xfId="5"/>
    <cellStyle name="Accent2 - 40% 2" xfId="1599"/>
    <cellStyle name="Accent2 - 60%" xfId="6"/>
    <cellStyle name="Accent2 - 60% 2" xfId="1598"/>
    <cellStyle name="Accent2 10" xfId="426"/>
    <cellStyle name="Accent2 11" xfId="427"/>
    <cellStyle name="Accent2 12" xfId="428"/>
    <cellStyle name="Accent2 13" xfId="429"/>
    <cellStyle name="Accent2 14" xfId="1585"/>
    <cellStyle name="Accent2 15" xfId="1625"/>
    <cellStyle name="Accent2 16" xfId="1626"/>
    <cellStyle name="Accent2 17" xfId="1431"/>
    <cellStyle name="Accent2 18" xfId="1430"/>
    <cellStyle name="Accent2 19" xfId="1633"/>
    <cellStyle name="Accent2 2" xfId="430"/>
    <cellStyle name="Accent2 20" xfId="1644"/>
    <cellStyle name="Accent2 21" xfId="1663"/>
    <cellStyle name="Accent2 22" xfId="1667"/>
    <cellStyle name="Accent2 23" xfId="1664"/>
    <cellStyle name="Accent2 24" xfId="1683"/>
    <cellStyle name="Accent2 25" xfId="1657"/>
    <cellStyle name="Accent2 26" xfId="1650"/>
    <cellStyle name="Accent2 27" xfId="1717"/>
    <cellStyle name="Accent2 28" xfId="1748"/>
    <cellStyle name="Accent2 29" xfId="1765"/>
    <cellStyle name="Accent2 3" xfId="431"/>
    <cellStyle name="Accent2 30" xfId="1710"/>
    <cellStyle name="Accent2 31" xfId="1759"/>
    <cellStyle name="Accent2 32" xfId="1740"/>
    <cellStyle name="Accent2 4" xfId="432"/>
    <cellStyle name="Accent2 5" xfId="433"/>
    <cellStyle name="Accent2 6" xfId="434"/>
    <cellStyle name="Accent2 7" xfId="435"/>
    <cellStyle name="Accent2 8" xfId="436"/>
    <cellStyle name="Accent2 9" xfId="437"/>
    <cellStyle name="Accent3" xfId="438"/>
    <cellStyle name="Accent3 - 20%" xfId="7"/>
    <cellStyle name="Accent3 - 20% 2" xfId="1597"/>
    <cellStyle name="Accent3 - 40%" xfId="8"/>
    <cellStyle name="Accent3 - 40% 2" xfId="1596"/>
    <cellStyle name="Accent3 - 60%" xfId="9"/>
    <cellStyle name="Accent3 - 60% 2" xfId="1595"/>
    <cellStyle name="Accent3 10" xfId="439"/>
    <cellStyle name="Accent3 11" xfId="440"/>
    <cellStyle name="Accent3 12" xfId="441"/>
    <cellStyle name="Accent3 13" xfId="442"/>
    <cellStyle name="Accent3 14" xfId="1474"/>
    <cellStyle name="Accent3 15" xfId="1622"/>
    <cellStyle name="Accent3 16" xfId="1426"/>
    <cellStyle name="Accent3 17" xfId="1615"/>
    <cellStyle name="Accent3 18" xfId="1631"/>
    <cellStyle name="Accent3 19" xfId="1553"/>
    <cellStyle name="Accent3 2" xfId="443"/>
    <cellStyle name="Accent3 20" xfId="1674"/>
    <cellStyle name="Accent3 21" xfId="1665"/>
    <cellStyle name="Accent3 22" xfId="1671"/>
    <cellStyle name="Accent3 23" xfId="1661"/>
    <cellStyle name="Accent3 24" xfId="1682"/>
    <cellStyle name="Accent3 25" xfId="1670"/>
    <cellStyle name="Accent3 26" xfId="1675"/>
    <cellStyle name="Accent3 27" xfId="1720"/>
    <cellStyle name="Accent3 28" xfId="1747"/>
    <cellStyle name="Accent3 29" xfId="1722"/>
    <cellStyle name="Accent3 3" xfId="444"/>
    <cellStyle name="Accent3 30" xfId="1692"/>
    <cellStyle name="Accent3 31" xfId="1738"/>
    <cellStyle name="Accent3 32" xfId="1757"/>
    <cellStyle name="Accent3 4" xfId="445"/>
    <cellStyle name="Accent3 5" xfId="446"/>
    <cellStyle name="Accent3 6" xfId="447"/>
    <cellStyle name="Accent3 7" xfId="448"/>
    <cellStyle name="Accent3 8" xfId="449"/>
    <cellStyle name="Accent3 9" xfId="450"/>
    <cellStyle name="Accent4" xfId="451"/>
    <cellStyle name="Accent4 - 20%" xfId="10"/>
    <cellStyle name="Accent4 - 20% 2" xfId="1594"/>
    <cellStyle name="Accent4 - 40%" xfId="11"/>
    <cellStyle name="Accent4 - 40% 2" xfId="1593"/>
    <cellStyle name="Accent4 - 60%" xfId="12"/>
    <cellStyle name="Accent4 - 60% 2" xfId="1592"/>
    <cellStyle name="Accent4 10" xfId="452"/>
    <cellStyle name="Accent4 11" xfId="453"/>
    <cellStyle name="Accent4 12" xfId="454"/>
    <cellStyle name="Accent4 13" xfId="455"/>
    <cellStyle name="Accent4 14" xfId="1475"/>
    <cellStyle name="Accent4 15" xfId="1562"/>
    <cellStyle name="Accent4 16" xfId="1629"/>
    <cellStyle name="Accent4 17" xfId="1611"/>
    <cellStyle name="Accent4 18" xfId="1450"/>
    <cellStyle name="Accent4 19" xfId="1614"/>
    <cellStyle name="Accent4 2" xfId="456"/>
    <cellStyle name="Accent4 20" xfId="1662"/>
    <cellStyle name="Accent4 21" xfId="1655"/>
    <cellStyle name="Accent4 22" xfId="1668"/>
    <cellStyle name="Accent4 23" xfId="1635"/>
    <cellStyle name="Accent4 24" xfId="1680"/>
    <cellStyle name="Accent4 25" xfId="1685"/>
    <cellStyle name="Accent4 26" xfId="1651"/>
    <cellStyle name="Accent4 27" xfId="1723"/>
    <cellStyle name="Accent4 28" xfId="1744"/>
    <cellStyle name="Accent4 29" xfId="1721"/>
    <cellStyle name="Accent4 3" xfId="457"/>
    <cellStyle name="Accent4 30" xfId="1711"/>
    <cellStyle name="Accent4 31" xfId="1758"/>
    <cellStyle name="Accent4 32" xfId="1764"/>
    <cellStyle name="Accent4 4" xfId="458"/>
    <cellStyle name="Accent4 5" xfId="459"/>
    <cellStyle name="Accent4 6" xfId="460"/>
    <cellStyle name="Accent4 7" xfId="461"/>
    <cellStyle name="Accent4 8" xfId="462"/>
    <cellStyle name="Accent4 9" xfId="463"/>
    <cellStyle name="Accent5" xfId="464"/>
    <cellStyle name="Accent5 - 20%" xfId="13"/>
    <cellStyle name="Accent5 - 20% 2" xfId="1443"/>
    <cellStyle name="Accent5 - 40%" xfId="14"/>
    <cellStyle name="Accent5 - 60%" xfId="15"/>
    <cellStyle name="Accent5 - 60% 2" xfId="1555"/>
    <cellStyle name="Accent5 10" xfId="465"/>
    <cellStyle name="Accent5 11" xfId="466"/>
    <cellStyle name="Accent5 12" xfId="467"/>
    <cellStyle name="Accent5 13" xfId="468"/>
    <cellStyle name="Accent5 14" xfId="1445"/>
    <cellStyle name="Accent5 15" xfId="1627"/>
    <cellStyle name="Accent5 16" xfId="1425"/>
    <cellStyle name="Accent5 17" xfId="1613"/>
    <cellStyle name="Accent5 18" xfId="1632"/>
    <cellStyle name="Accent5 19" xfId="1429"/>
    <cellStyle name="Accent5 2" xfId="469"/>
    <cellStyle name="Accent5 20" xfId="1676"/>
    <cellStyle name="Accent5 21" xfId="1652"/>
    <cellStyle name="Accent5 22" xfId="1686"/>
    <cellStyle name="Accent5 23" xfId="1666"/>
    <cellStyle name="Accent5 24" xfId="1689"/>
    <cellStyle name="Accent5 25" xfId="1642"/>
    <cellStyle name="Accent5 26" xfId="1681"/>
    <cellStyle name="Accent5 27" xfId="1725"/>
    <cellStyle name="Accent5 28" xfId="1756"/>
    <cellStyle name="Accent5 29" xfId="1719"/>
    <cellStyle name="Accent5 3" xfId="470"/>
    <cellStyle name="Accent5 30" xfId="1752"/>
    <cellStyle name="Accent5 31" xfId="1736"/>
    <cellStyle name="Accent5 32" xfId="1732"/>
    <cellStyle name="Accent5 4" xfId="471"/>
    <cellStyle name="Accent5 5" xfId="472"/>
    <cellStyle name="Accent5 6" xfId="473"/>
    <cellStyle name="Accent5 7" xfId="474"/>
    <cellStyle name="Accent5 8" xfId="475"/>
    <cellStyle name="Accent5 9" xfId="476"/>
    <cellStyle name="Accent6" xfId="477"/>
    <cellStyle name="Accent6 - 20%" xfId="16"/>
    <cellStyle name="Accent6 - 40%" xfId="17"/>
    <cellStyle name="Accent6 - 40% 2" xfId="1442"/>
    <cellStyle name="Accent6 - 60%" xfId="18"/>
    <cellStyle name="Accent6 - 60% 2" xfId="1579"/>
    <cellStyle name="Accent6 10" xfId="478"/>
    <cellStyle name="Accent6 11" xfId="479"/>
    <cellStyle name="Accent6 12" xfId="480"/>
    <cellStyle name="Accent6 13" xfId="481"/>
    <cellStyle name="Accent6 14" xfId="1476"/>
    <cellStyle name="Accent6 15" xfId="1563"/>
    <cellStyle name="Accent6 16" xfId="1581"/>
    <cellStyle name="Accent6 17" xfId="1623"/>
    <cellStyle name="Accent6 18" xfId="1630"/>
    <cellStyle name="Accent6 19" xfId="1444"/>
    <cellStyle name="Accent6 2" xfId="482"/>
    <cellStyle name="Accent6 20" xfId="1673"/>
    <cellStyle name="Accent6 21" xfId="1639"/>
    <cellStyle name="Accent6 22" xfId="1669"/>
    <cellStyle name="Accent6 23" xfId="1660"/>
    <cellStyle name="Accent6 24" xfId="1679"/>
    <cellStyle name="Accent6 25" xfId="1654"/>
    <cellStyle name="Accent6 26" xfId="1641"/>
    <cellStyle name="Accent6 27" xfId="1726"/>
    <cellStyle name="Accent6 28" xfId="1743"/>
    <cellStyle name="Accent6 29" xfId="1718"/>
    <cellStyle name="Accent6 3" xfId="483"/>
    <cellStyle name="Accent6 30" xfId="1742"/>
    <cellStyle name="Accent6 31" xfId="1739"/>
    <cellStyle name="Accent6 32" xfId="1724"/>
    <cellStyle name="Accent6 4" xfId="484"/>
    <cellStyle name="Accent6 5" xfId="485"/>
    <cellStyle name="Accent6 6" xfId="486"/>
    <cellStyle name="Accent6 7" xfId="487"/>
    <cellStyle name="Accent6 8" xfId="488"/>
    <cellStyle name="Accent6 9" xfId="489"/>
    <cellStyle name="account" xfId="1803"/>
    <cellStyle name="Accounting" xfId="1804"/>
    <cellStyle name="Anna" xfId="1805"/>
    <cellStyle name="AP_AR_UPS" xfId="1806"/>
    <cellStyle name="BackGround_General" xfId="1807"/>
    <cellStyle name="Bad" xfId="490"/>
    <cellStyle name="Bad 10" xfId="491"/>
    <cellStyle name="Bad 11" xfId="492"/>
    <cellStyle name="Bad 12" xfId="493"/>
    <cellStyle name="Bad 13" xfId="494"/>
    <cellStyle name="Bad 14" xfId="1586"/>
    <cellStyle name="Bad 2" xfId="495"/>
    <cellStyle name="Bad 3" xfId="496"/>
    <cellStyle name="Bad 4" xfId="497"/>
    <cellStyle name="Bad 5" xfId="498"/>
    <cellStyle name="Bad 6" xfId="499"/>
    <cellStyle name="Bad 7" xfId="500"/>
    <cellStyle name="Bad 8" xfId="501"/>
    <cellStyle name="Bad 9" xfId="502"/>
    <cellStyle name="blank" xfId="1808"/>
    <cellStyle name="Blue_Calculation" xfId="1809"/>
    <cellStyle name="Calculation" xfId="503"/>
    <cellStyle name="Calculation 10" xfId="504"/>
    <cellStyle name="Calculation 11" xfId="505"/>
    <cellStyle name="Calculation 12" xfId="506"/>
    <cellStyle name="Calculation 13" xfId="507"/>
    <cellStyle name="Calculation 14" xfId="1587"/>
    <cellStyle name="Calculation 15" xfId="1810"/>
    <cellStyle name="Calculation 2" xfId="508"/>
    <cellStyle name="Calculation 3" xfId="509"/>
    <cellStyle name="Calculation 4" xfId="510"/>
    <cellStyle name="Calculation 5" xfId="511"/>
    <cellStyle name="Calculation 6" xfId="512"/>
    <cellStyle name="Calculation 7" xfId="513"/>
    <cellStyle name="Calculation 8" xfId="514"/>
    <cellStyle name="Calculation 9" xfId="515"/>
    <cellStyle name="Calculation_Xl0000026" xfId="516"/>
    <cellStyle name="Check" xfId="1811"/>
    <cellStyle name="Check Cell" xfId="517"/>
    <cellStyle name="Check Cell 10" xfId="518"/>
    <cellStyle name="Check Cell 11" xfId="519"/>
    <cellStyle name="Check Cell 12" xfId="520"/>
    <cellStyle name="Check Cell 13" xfId="521"/>
    <cellStyle name="Check Cell 14" xfId="1588"/>
    <cellStyle name="Check Cell 2" xfId="522"/>
    <cellStyle name="Check Cell 3" xfId="523"/>
    <cellStyle name="Check Cell 4" xfId="524"/>
    <cellStyle name="Check Cell 5" xfId="525"/>
    <cellStyle name="Check Cell 6" xfId="526"/>
    <cellStyle name="Check Cell 7" xfId="527"/>
    <cellStyle name="Check Cell 8" xfId="528"/>
    <cellStyle name="Check Cell 9" xfId="529"/>
    <cellStyle name="Check Cell_Xl0000026" xfId="530"/>
    <cellStyle name="Comma [0]_laroux" xfId="531"/>
    <cellStyle name="Comma_laroux" xfId="532"/>
    <cellStyle name="Currency [0]" xfId="533"/>
    <cellStyle name="Currency_laroux" xfId="534"/>
    <cellStyle name="Dezimal [0]_Compiling Utility Macros" xfId="1812"/>
    <cellStyle name="Dezimal_Compiling Utility Macros" xfId="1813"/>
    <cellStyle name="Emphasis 1" xfId="19"/>
    <cellStyle name="Emphasis 1 2" xfId="1575"/>
    <cellStyle name="Emphasis 2" xfId="20"/>
    <cellStyle name="Emphasis 2 2" xfId="1561"/>
    <cellStyle name="Emphasis 3" xfId="21"/>
    <cellStyle name="Euro" xfId="1271"/>
    <cellStyle name="Explanatory Text" xfId="535"/>
    <cellStyle name="Explanatory Text 10" xfId="536"/>
    <cellStyle name="Explanatory Text 11" xfId="537"/>
    <cellStyle name="Explanatory Text 12" xfId="538"/>
    <cellStyle name="Explanatory Text 13" xfId="539"/>
    <cellStyle name="Explanatory Text 14" xfId="1621"/>
    <cellStyle name="Explanatory Text 2" xfId="540"/>
    <cellStyle name="Explanatory Text 3" xfId="541"/>
    <cellStyle name="Explanatory Text 4" xfId="542"/>
    <cellStyle name="Explanatory Text 5" xfId="543"/>
    <cellStyle name="Explanatory Text 6" xfId="544"/>
    <cellStyle name="Explanatory Text 7" xfId="545"/>
    <cellStyle name="Explanatory Text 8" xfId="546"/>
    <cellStyle name="Explanatory Text 9" xfId="547"/>
    <cellStyle name="Followed Hyperlink" xfId="1272"/>
    <cellStyle name="Footnotes" xfId="1814"/>
    <cellStyle name="General_Ledger" xfId="1815"/>
    <cellStyle name="Good" xfId="548"/>
    <cellStyle name="Good 10" xfId="549"/>
    <cellStyle name="Good 11" xfId="550"/>
    <cellStyle name="Good 12" xfId="551"/>
    <cellStyle name="Good 13" xfId="552"/>
    <cellStyle name="Good 14" xfId="1583"/>
    <cellStyle name="Good 2" xfId="553"/>
    <cellStyle name="Good 3" xfId="554"/>
    <cellStyle name="Good 4" xfId="555"/>
    <cellStyle name="Good 5" xfId="556"/>
    <cellStyle name="Good 6" xfId="557"/>
    <cellStyle name="Good 7" xfId="558"/>
    <cellStyle name="Good 8" xfId="559"/>
    <cellStyle name="Good 9" xfId="560"/>
    <cellStyle name="Heading 1" xfId="561"/>
    <cellStyle name="Heading 1 10" xfId="562"/>
    <cellStyle name="Heading 1 11" xfId="563"/>
    <cellStyle name="Heading 1 12" xfId="564"/>
    <cellStyle name="Heading 1 13" xfId="565"/>
    <cellStyle name="Heading 1 14" xfId="1528"/>
    <cellStyle name="Heading 1 2" xfId="566"/>
    <cellStyle name="Heading 1 3" xfId="567"/>
    <cellStyle name="Heading 1 4" xfId="568"/>
    <cellStyle name="Heading 1 5" xfId="569"/>
    <cellStyle name="Heading 1 6" xfId="570"/>
    <cellStyle name="Heading 1 7" xfId="571"/>
    <cellStyle name="Heading 1 8" xfId="572"/>
    <cellStyle name="Heading 1 9" xfId="573"/>
    <cellStyle name="Heading 1_Xl0000026" xfId="574"/>
    <cellStyle name="Heading 2" xfId="575"/>
    <cellStyle name="Heading 2 10" xfId="576"/>
    <cellStyle name="Heading 2 11" xfId="577"/>
    <cellStyle name="Heading 2 12" xfId="578"/>
    <cellStyle name="Heading 2 13" xfId="579"/>
    <cellStyle name="Heading 2 14" xfId="1529"/>
    <cellStyle name="Heading 2 2" xfId="580"/>
    <cellStyle name="Heading 2 3" xfId="581"/>
    <cellStyle name="Heading 2 4" xfId="582"/>
    <cellStyle name="Heading 2 5" xfId="583"/>
    <cellStyle name="Heading 2 6" xfId="584"/>
    <cellStyle name="Heading 2 7" xfId="585"/>
    <cellStyle name="Heading 2 8" xfId="586"/>
    <cellStyle name="Heading 2 9" xfId="587"/>
    <cellStyle name="Heading 2_Xl0000026" xfId="588"/>
    <cellStyle name="Heading 3" xfId="589"/>
    <cellStyle name="Heading 3 10" xfId="590"/>
    <cellStyle name="Heading 3 11" xfId="591"/>
    <cellStyle name="Heading 3 12" xfId="592"/>
    <cellStyle name="Heading 3 13" xfId="593"/>
    <cellStyle name="Heading 3 14" xfId="1530"/>
    <cellStyle name="Heading 3 2" xfId="594"/>
    <cellStyle name="Heading 3 3" xfId="595"/>
    <cellStyle name="Heading 3 4" xfId="596"/>
    <cellStyle name="Heading 3 5" xfId="597"/>
    <cellStyle name="Heading 3 6" xfId="598"/>
    <cellStyle name="Heading 3 7" xfId="599"/>
    <cellStyle name="Heading 3 8" xfId="600"/>
    <cellStyle name="Heading 3 9" xfId="601"/>
    <cellStyle name="Heading 3_Xl0000026" xfId="602"/>
    <cellStyle name="Heading 4" xfId="603"/>
    <cellStyle name="Heading 4 10" xfId="604"/>
    <cellStyle name="Heading 4 11" xfId="605"/>
    <cellStyle name="Heading 4 12" xfId="606"/>
    <cellStyle name="Heading 4 13" xfId="607"/>
    <cellStyle name="Heading 4 14" xfId="1531"/>
    <cellStyle name="Heading 4 2" xfId="608"/>
    <cellStyle name="Heading 4 3" xfId="609"/>
    <cellStyle name="Heading 4 4" xfId="610"/>
    <cellStyle name="Heading 4 5" xfId="611"/>
    <cellStyle name="Heading 4 6" xfId="612"/>
    <cellStyle name="Heading 4 7" xfId="613"/>
    <cellStyle name="Heading 4 8" xfId="614"/>
    <cellStyle name="Heading 4 9" xfId="615"/>
    <cellStyle name="Hidden" xfId="1816"/>
    <cellStyle name="Hyperlink" xfId="1273"/>
    <cellStyle name="Iau?iue_Cia-l ccaldcec" xfId="1274"/>
    <cellStyle name="Îáű÷íűé_Ńĺáĺńňîčěîńňü" xfId="1275"/>
    <cellStyle name="Input" xfId="616"/>
    <cellStyle name="Input 10" xfId="617"/>
    <cellStyle name="Input 11" xfId="618"/>
    <cellStyle name="Input 12" xfId="619"/>
    <cellStyle name="Input 13" xfId="620"/>
    <cellStyle name="Input 14" xfId="1532"/>
    <cellStyle name="Input 2" xfId="621"/>
    <cellStyle name="Input 3" xfId="622"/>
    <cellStyle name="Input 4" xfId="623"/>
    <cellStyle name="Input 5" xfId="624"/>
    <cellStyle name="Input 6" xfId="625"/>
    <cellStyle name="Input 7" xfId="626"/>
    <cellStyle name="Input 8" xfId="627"/>
    <cellStyle name="Input 9" xfId="628"/>
    <cellStyle name="Input_Cell" xfId="1817"/>
    <cellStyle name="Just_Table" xfId="1818"/>
    <cellStyle name="LeftTitle" xfId="1819"/>
    <cellStyle name="Linked Cell" xfId="629"/>
    <cellStyle name="Linked Cell 10" xfId="630"/>
    <cellStyle name="Linked Cell 11" xfId="631"/>
    <cellStyle name="Linked Cell 12" xfId="632"/>
    <cellStyle name="Linked Cell 13" xfId="633"/>
    <cellStyle name="Linked Cell 14" xfId="1533"/>
    <cellStyle name="Linked Cell 2" xfId="634"/>
    <cellStyle name="Linked Cell 3" xfId="635"/>
    <cellStyle name="Linked Cell 4" xfId="636"/>
    <cellStyle name="Linked Cell 5" xfId="637"/>
    <cellStyle name="Linked Cell 6" xfId="638"/>
    <cellStyle name="Linked Cell 7" xfId="639"/>
    <cellStyle name="Linked Cell 8" xfId="640"/>
    <cellStyle name="Linked Cell 9" xfId="641"/>
    <cellStyle name="Linked Cell_Xl0000026" xfId="642"/>
    <cellStyle name="Neutral" xfId="643"/>
    <cellStyle name="Neutral 10" xfId="644"/>
    <cellStyle name="Neutral 11" xfId="645"/>
    <cellStyle name="Neutral 12" xfId="646"/>
    <cellStyle name="Neutral 13" xfId="647"/>
    <cellStyle name="Neutral 14" xfId="1589"/>
    <cellStyle name="Neutral 2" xfId="648"/>
    <cellStyle name="Neutral 3" xfId="649"/>
    <cellStyle name="Neutral 4" xfId="650"/>
    <cellStyle name="Neutral 5" xfId="651"/>
    <cellStyle name="Neutral 6" xfId="652"/>
    <cellStyle name="Neutral 7" xfId="653"/>
    <cellStyle name="Neutral 8" xfId="654"/>
    <cellStyle name="Neutral 9" xfId="655"/>
    <cellStyle name="No_Input" xfId="1820"/>
    <cellStyle name="Norma11l" xfId="656"/>
    <cellStyle name="Normal 10" xfId="657"/>
    <cellStyle name="Normal 11" xfId="658"/>
    <cellStyle name="Normal 12" xfId="659"/>
    <cellStyle name="Normal 13" xfId="660"/>
    <cellStyle name="Normal 2" xfId="661"/>
    <cellStyle name="Normal 3" xfId="662"/>
    <cellStyle name="Normal 4" xfId="663"/>
    <cellStyle name="Normal 5" xfId="664"/>
    <cellStyle name="Normal 6" xfId="665"/>
    <cellStyle name="Normal 7" xfId="666"/>
    <cellStyle name="Normal 8" xfId="667"/>
    <cellStyle name="Normal 9" xfId="668"/>
    <cellStyle name="Normal_ASUS" xfId="669"/>
    <cellStyle name="Normal1" xfId="670"/>
    <cellStyle name="Note" xfId="671"/>
    <cellStyle name="Note 10" xfId="672"/>
    <cellStyle name="Note 11" xfId="673"/>
    <cellStyle name="Note 12" xfId="674"/>
    <cellStyle name="Note 13" xfId="675"/>
    <cellStyle name="Note 14" xfId="1590"/>
    <cellStyle name="Note 2" xfId="676"/>
    <cellStyle name="Note 3" xfId="677"/>
    <cellStyle name="Note 4" xfId="678"/>
    <cellStyle name="Note 5" xfId="679"/>
    <cellStyle name="Note 6" xfId="680"/>
    <cellStyle name="Note 7" xfId="681"/>
    <cellStyle name="Note 8" xfId="682"/>
    <cellStyle name="Note 9" xfId="683"/>
    <cellStyle name="Note_Xl0000026" xfId="684"/>
    <cellStyle name="Nun??c [0]_Cia-l ccaldcec" xfId="1276"/>
    <cellStyle name="Nun??c_Cia-l ccaldcec" xfId="1277"/>
    <cellStyle name="Ňűń˙÷č [0]_Ńĺáĺńňîčěîńňü" xfId="1278"/>
    <cellStyle name="Ňűń˙÷č_Ńĺáĺńňîčěîńňü" xfId="1279"/>
    <cellStyle name="Output" xfId="685"/>
    <cellStyle name="Output 10" xfId="686"/>
    <cellStyle name="Output 11" xfId="687"/>
    <cellStyle name="Output 12" xfId="688"/>
    <cellStyle name="Output 13" xfId="689"/>
    <cellStyle name="Output 14" xfId="1591"/>
    <cellStyle name="Output 2" xfId="690"/>
    <cellStyle name="Output 3" xfId="691"/>
    <cellStyle name="Output 4" xfId="692"/>
    <cellStyle name="Output 5" xfId="693"/>
    <cellStyle name="Output 6" xfId="694"/>
    <cellStyle name="Output 7" xfId="695"/>
    <cellStyle name="Output 8" xfId="696"/>
    <cellStyle name="Output 9" xfId="697"/>
    <cellStyle name="Output_Xl0000026" xfId="698"/>
    <cellStyle name="PageHeading" xfId="1821"/>
    <cellStyle name="PillarText" xfId="1280"/>
    <cellStyle name="Price_Body" xfId="699"/>
    <cellStyle name="QTitle" xfId="1822"/>
    <cellStyle name="range" xfId="1823"/>
    <cellStyle name="S0" xfId="22"/>
    <cellStyle name="S3_Лист4 (2)" xfId="23"/>
    <cellStyle name="SAPBEXaggData" xfId="24"/>
    <cellStyle name="SAPBEXaggData 2" xfId="1436"/>
    <cellStyle name="SAPBEXaggDataEmph" xfId="25"/>
    <cellStyle name="SAPBEXaggDataEmph 2" xfId="1526"/>
    <cellStyle name="SAPBEXaggItem" xfId="26"/>
    <cellStyle name="SAPBEXaggItem 2" xfId="1525"/>
    <cellStyle name="SAPBEXaggItemX" xfId="27"/>
    <cellStyle name="SAPBEXaggItemX 2" xfId="1524"/>
    <cellStyle name="SAPBEXchaText" xfId="28"/>
    <cellStyle name="SAPBEXchaText 2" xfId="1523"/>
    <cellStyle name="SAPBEXexcBad7" xfId="29"/>
    <cellStyle name="SAPBEXexcBad7 2" xfId="1522"/>
    <cellStyle name="SAPBEXexcBad8" xfId="30"/>
    <cellStyle name="SAPBEXexcBad8 2" xfId="1521"/>
    <cellStyle name="SAPBEXexcBad9" xfId="31"/>
    <cellStyle name="SAPBEXexcBad9 2" xfId="1520"/>
    <cellStyle name="SAPBEXexcCritical4" xfId="32"/>
    <cellStyle name="SAPBEXexcCritical4 2" xfId="1519"/>
    <cellStyle name="SAPBEXexcCritical5" xfId="33"/>
    <cellStyle name="SAPBEXexcCritical5 2" xfId="1518"/>
    <cellStyle name="SAPBEXexcCritical6" xfId="34"/>
    <cellStyle name="SAPBEXexcCritical6 2" xfId="1554"/>
    <cellStyle name="SAPBEXexcGood1" xfId="35"/>
    <cellStyle name="SAPBEXexcGood1 2" xfId="1441"/>
    <cellStyle name="SAPBEXexcGood2" xfId="36"/>
    <cellStyle name="SAPBEXexcGood2 2" xfId="1493"/>
    <cellStyle name="SAPBEXexcGood3" xfId="37"/>
    <cellStyle name="SAPBEXexcGood3 2" xfId="1440"/>
    <cellStyle name="SAPBEXfilterDrill" xfId="38"/>
    <cellStyle name="SAPBEXfilterDrill 2" xfId="1517"/>
    <cellStyle name="SAPBEXfilterItem" xfId="39"/>
    <cellStyle name="SAPBEXfilterItem 2" xfId="1516"/>
    <cellStyle name="SAPBEXfilterText" xfId="40"/>
    <cellStyle name="SAPBEXfilterText 2" xfId="1560"/>
    <cellStyle name="SAPBEXformats" xfId="41"/>
    <cellStyle name="SAPBEXformats 2" xfId="1515"/>
    <cellStyle name="SAPBEXheaderItem" xfId="42"/>
    <cellStyle name="SAPBEXheaderItem 2" xfId="1514"/>
    <cellStyle name="SAPBEXheaderText" xfId="43"/>
    <cellStyle name="SAPBEXheaderText 2" xfId="1513"/>
    <cellStyle name="SAPBEXHLevel0" xfId="44"/>
    <cellStyle name="SAPBEXHLevel0 2" xfId="1512"/>
    <cellStyle name="SAPBEXHLevel0X" xfId="45"/>
    <cellStyle name="SAPBEXHLevel0X 2" xfId="1552"/>
    <cellStyle name="SAPBEXHLevel1" xfId="46"/>
    <cellStyle name="SAPBEXHLevel1 2" xfId="1511"/>
    <cellStyle name="SAPBEXHLevel1X" xfId="47"/>
    <cellStyle name="SAPBEXHLevel1X 2" xfId="1510"/>
    <cellStyle name="SAPBEXHLevel2" xfId="48"/>
    <cellStyle name="SAPBEXHLevel2 2" xfId="1509"/>
    <cellStyle name="SAPBEXHLevel2X" xfId="49"/>
    <cellStyle name="SAPBEXHLevel2X 2" xfId="1508"/>
    <cellStyle name="SAPBEXHLevel3" xfId="50"/>
    <cellStyle name="SAPBEXHLevel3 2" xfId="1539"/>
    <cellStyle name="SAPBEXHLevel3 3" xfId="1616"/>
    <cellStyle name="SAPBEXHLevel3X" xfId="51"/>
    <cellStyle name="SAPBEXHLevel3X 2" xfId="1447"/>
    <cellStyle name="SAPBEXinputData" xfId="52"/>
    <cellStyle name="SAPBEXinputData 2" xfId="1446"/>
    <cellStyle name="SAPBEXItemHeader" xfId="1541"/>
    <cellStyle name="SAPBEXresData" xfId="53"/>
    <cellStyle name="SAPBEXresData 2" xfId="1540"/>
    <cellStyle name="SAPBEXresDataEmph" xfId="54"/>
    <cellStyle name="SAPBEXresDataEmph 2" xfId="1507"/>
    <cellStyle name="SAPBEXresItem" xfId="55"/>
    <cellStyle name="SAPBEXresItem 2" xfId="1506"/>
    <cellStyle name="SAPBEXresItemX" xfId="56"/>
    <cellStyle name="SAPBEXresItemX 2" xfId="1566"/>
    <cellStyle name="SAPBEXstdData" xfId="57"/>
    <cellStyle name="SAPBEXstdData 2" xfId="1477"/>
    <cellStyle name="SAPBEXstdData 3" xfId="1617"/>
    <cellStyle name="SAPBEXstdDataEmph" xfId="58"/>
    <cellStyle name="SAPBEXstdDataEmph 2" xfId="1609"/>
    <cellStyle name="SAPBEXstdDataEmph 3" xfId="1618"/>
    <cellStyle name="SAPBEXstdItem" xfId="59"/>
    <cellStyle name="SAPBEXstdItem 2" xfId="1610"/>
    <cellStyle name="SAPBEXstdItem 3" xfId="1619"/>
    <cellStyle name="SAPBEXstdItemX" xfId="60"/>
    <cellStyle name="SAPBEXstdItemX 2" xfId="1505"/>
    <cellStyle name="SAPBEXtitle" xfId="61"/>
    <cellStyle name="SAPBEXtitle 2" xfId="1504"/>
    <cellStyle name="SAPBEXunassignedItem" xfId="1503"/>
    <cellStyle name="SAPBEXundefined" xfId="62"/>
    <cellStyle name="SAPBEXundefined 2" xfId="1551"/>
    <cellStyle name="SEM-BPS-data" xfId="700"/>
    <cellStyle name="SEM-BPS-head" xfId="701"/>
    <cellStyle name="SEM-BPS-headdata" xfId="702"/>
    <cellStyle name="SEM-BPS-headkey" xfId="703"/>
    <cellStyle name="SEM-BPS-input-on" xfId="704"/>
    <cellStyle name="SEM-BPS-key" xfId="705"/>
    <cellStyle name="SEM-BPS-sub1" xfId="706"/>
    <cellStyle name="SEM-BPS-sub2" xfId="707"/>
    <cellStyle name="SEM-BPS-total" xfId="708"/>
    <cellStyle name="Sheet Title" xfId="63"/>
    <cellStyle name="Show_Sell" xfId="1824"/>
    <cellStyle name="Standard_Anpassen der Amortisation" xfId="1825"/>
    <cellStyle name="Table" xfId="1826"/>
    <cellStyle name="Title" xfId="709"/>
    <cellStyle name="Title 10" xfId="710"/>
    <cellStyle name="Title 11" xfId="711"/>
    <cellStyle name="Title 12" xfId="712"/>
    <cellStyle name="Title 13" xfId="713"/>
    <cellStyle name="Title 14" xfId="1478"/>
    <cellStyle name="Title 2" xfId="714"/>
    <cellStyle name="Title 3" xfId="715"/>
    <cellStyle name="Title 4" xfId="716"/>
    <cellStyle name="Title 5" xfId="717"/>
    <cellStyle name="Title 6" xfId="718"/>
    <cellStyle name="Title 7" xfId="719"/>
    <cellStyle name="Title 8" xfId="720"/>
    <cellStyle name="Title 9" xfId="721"/>
    <cellStyle name="Title_1" xfId="1827"/>
    <cellStyle name="Total" xfId="722"/>
    <cellStyle name="Total 10" xfId="723"/>
    <cellStyle name="Total 11" xfId="724"/>
    <cellStyle name="Total 12" xfId="725"/>
    <cellStyle name="Total 13" xfId="726"/>
    <cellStyle name="Total 14" xfId="1479"/>
    <cellStyle name="Total 2" xfId="727"/>
    <cellStyle name="Total 3" xfId="728"/>
    <cellStyle name="Total 4" xfId="729"/>
    <cellStyle name="Total 5" xfId="730"/>
    <cellStyle name="Total 6" xfId="731"/>
    <cellStyle name="Total 7" xfId="732"/>
    <cellStyle name="Total 8" xfId="733"/>
    <cellStyle name="Total 9" xfId="734"/>
    <cellStyle name="Total_Xl0000026" xfId="735"/>
    <cellStyle name="Undefiniert" xfId="1281"/>
    <cellStyle name="Validation" xfId="1828"/>
    <cellStyle name="Warning Text" xfId="736"/>
    <cellStyle name="Warning Text 10" xfId="737"/>
    <cellStyle name="Warning Text 11" xfId="738"/>
    <cellStyle name="Warning Text 12" xfId="739"/>
    <cellStyle name="Warning Text 13" xfId="740"/>
    <cellStyle name="Warning Text 14" xfId="1480"/>
    <cellStyle name="Warning Text 2" xfId="741"/>
    <cellStyle name="Warning Text 3" xfId="742"/>
    <cellStyle name="Warning Text 4" xfId="743"/>
    <cellStyle name="Warning Text 5" xfId="744"/>
    <cellStyle name="Warning Text 6" xfId="745"/>
    <cellStyle name="Warning Text 7" xfId="746"/>
    <cellStyle name="Warning Text 8" xfId="747"/>
    <cellStyle name="Warning Text 9" xfId="748"/>
    <cellStyle name="white" xfId="1829"/>
    <cellStyle name="Wдhrung [0]_Compiling Utility Macros" xfId="1830"/>
    <cellStyle name="Wдhrung_Compiling Utility Macros" xfId="1831"/>
    <cellStyle name="YelNumbersCurr" xfId="1832"/>
    <cellStyle name="Акт" xfId="1282"/>
    <cellStyle name="АктМТСН" xfId="1283"/>
    <cellStyle name="АктМТСН 2" xfId="1284"/>
    <cellStyle name="Акцент1 2" xfId="749"/>
    <cellStyle name="Акцент1 2 2" xfId="1481"/>
    <cellStyle name="Акцент2 2" xfId="750"/>
    <cellStyle name="Акцент2 2 2" xfId="1482"/>
    <cellStyle name="Акцент3 2" xfId="751"/>
    <cellStyle name="Акцент3 2 2" xfId="1483"/>
    <cellStyle name="Акцент4 2" xfId="752"/>
    <cellStyle name="Акцент4 2 2" xfId="1484"/>
    <cellStyle name="Акцент5 2" xfId="753"/>
    <cellStyle name="Акцент5 2 2" xfId="1485"/>
    <cellStyle name="Акцент6 2" xfId="754"/>
    <cellStyle name="Акцент6 2 2" xfId="1486"/>
    <cellStyle name="Беззащитный" xfId="755"/>
    <cellStyle name="Ввод  2" xfId="756"/>
    <cellStyle name="Ввод  2 2" xfId="1559"/>
    <cellStyle name="Ввод  3" xfId="1433"/>
    <cellStyle name="ВедРесурсов" xfId="1285"/>
    <cellStyle name="ВедРесурсовАкт" xfId="1286"/>
    <cellStyle name="Вывод 2" xfId="757"/>
    <cellStyle name="Вывод 2 2" xfId="1487"/>
    <cellStyle name="Вычисление 2" xfId="758"/>
    <cellStyle name="Вычисление 2 2" xfId="1488"/>
    <cellStyle name="Заголовок" xfId="759"/>
    <cellStyle name="Заголовок 1 2" xfId="760"/>
    <cellStyle name="Заголовок 2 2" xfId="761"/>
    <cellStyle name="Заголовок 3 2" xfId="762"/>
    <cellStyle name="Заголовок 4 2" xfId="763"/>
    <cellStyle name="Заголовок таблицы" xfId="764"/>
    <cellStyle name="ЗаголовокСтолбца" xfId="64"/>
    <cellStyle name="Защитный" xfId="765"/>
    <cellStyle name="Значение" xfId="65"/>
    <cellStyle name="зфпуруфвштп" xfId="1833"/>
    <cellStyle name="Итог 2" xfId="766"/>
    <cellStyle name="Итоги" xfId="1287"/>
    <cellStyle name="ИтогоАктБазЦ" xfId="1288"/>
    <cellStyle name="ИтогоАктТекЦ" xfId="1289"/>
    <cellStyle name="ИтогоБазЦ" xfId="1290"/>
    <cellStyle name="ИтогоТекЦ" xfId="1291"/>
    <cellStyle name="йешеду" xfId="1834"/>
    <cellStyle name="Контрольная ячейка 2" xfId="767"/>
    <cellStyle name="Контрольная ячейка 2 2" xfId="1489"/>
    <cellStyle name="ЛокСмета" xfId="1292"/>
    <cellStyle name="ЛокСмМТСН" xfId="1293"/>
    <cellStyle name="ЛокСмМТСН 2" xfId="1294"/>
    <cellStyle name="Мои наименования показателей" xfId="1295"/>
    <cellStyle name="Мой заголовок" xfId="1296"/>
    <cellStyle name="Мой заголовок листа" xfId="1297"/>
    <cellStyle name="Название 2" xfId="768"/>
    <cellStyle name="Нейтральный 2" xfId="769"/>
    <cellStyle name="Нейтральный 2 2" xfId="1490"/>
    <cellStyle name="Обычный" xfId="0" builtinId="0"/>
    <cellStyle name="Обычный 10" xfId="111"/>
    <cellStyle name="Обычный 10 2" xfId="112"/>
    <cellStyle name="Обычный 10 2 2" xfId="1578"/>
    <cellStyle name="Обычный 10 2 3" xfId="1298"/>
    <cellStyle name="Обычный 10 3" xfId="1299"/>
    <cellStyle name="Обычный 10 4" xfId="1300"/>
    <cellStyle name="Обычный 11" xfId="113"/>
    <cellStyle name="Обычный 11 2" xfId="1301"/>
    <cellStyle name="Обычный 11 3" xfId="1302"/>
    <cellStyle name="Обычный 11 4" xfId="1303"/>
    <cellStyle name="Обычный 11 5" xfId="1304"/>
    <cellStyle name="Обычный 12" xfId="114"/>
    <cellStyle name="Обычный 12 2" xfId="1305"/>
    <cellStyle name="Обычный 12 3" xfId="1306"/>
    <cellStyle name="Обычный 12 4" xfId="1307"/>
    <cellStyle name="Обычный 12 5" xfId="1308"/>
    <cellStyle name="Обычный 13" xfId="115"/>
    <cellStyle name="Обычный 13 2" xfId="1309"/>
    <cellStyle name="Обычный 13 3" xfId="1310"/>
    <cellStyle name="Обычный 13 4" xfId="1311"/>
    <cellStyle name="Обычный 13 5" xfId="1312"/>
    <cellStyle name="Обычный 14" xfId="1313"/>
    <cellStyle name="Обычный 14 2" xfId="1314"/>
    <cellStyle name="Обычный 14 2 2" xfId="1417"/>
    <cellStyle name="Обычный 14 3" xfId="1315"/>
    <cellStyle name="Обычный 14 4" xfId="1316"/>
    <cellStyle name="Обычный 14 5" xfId="1410"/>
    <cellStyle name="Обычный 15" xfId="116"/>
    <cellStyle name="Обычный 15 2" xfId="1317"/>
    <cellStyle name="Обычный 15 3" xfId="1318"/>
    <cellStyle name="Обычный 15 4" xfId="1319"/>
    <cellStyle name="Обычный 15 5" xfId="1320"/>
    <cellStyle name="Обычный 16" xfId="1321"/>
    <cellStyle name="Обычный 16 2" xfId="1322"/>
    <cellStyle name="Обычный 16 2 2" xfId="1418"/>
    <cellStyle name="Обычный 16 3" xfId="1323"/>
    <cellStyle name="Обычный 16 4" xfId="1324"/>
    <cellStyle name="Обычный 16 5" xfId="1412"/>
    <cellStyle name="Обычный 17" xfId="1325"/>
    <cellStyle name="Обычный 17 2" xfId="1326"/>
    <cellStyle name="Обычный 17 3" xfId="1327"/>
    <cellStyle name="Обычный 17 4" xfId="1328"/>
    <cellStyle name="Обычный 17 5" xfId="1602"/>
    <cellStyle name="Обычный 18" xfId="1329"/>
    <cellStyle name="Обычный 18 2" xfId="1330"/>
    <cellStyle name="Обычный 18 3" xfId="1331"/>
    <cellStyle name="Обычный 18 4" xfId="1332"/>
    <cellStyle name="Обычный 18 5" xfId="1603"/>
    <cellStyle name="Обычный 19" xfId="1333"/>
    <cellStyle name="Обычный 19 2" xfId="1334"/>
    <cellStyle name="Обычный 19 3" xfId="1335"/>
    <cellStyle name="Обычный 19 4" xfId="1336"/>
    <cellStyle name="Обычный 2" xfId="66"/>
    <cellStyle name="Обычный 2 10" xfId="770"/>
    <cellStyle name="Обычный 2 11" xfId="771"/>
    <cellStyle name="Обычный 2 12" xfId="772"/>
    <cellStyle name="Обычный 2 13" xfId="773"/>
    <cellStyle name="Обычный 2 14" xfId="774"/>
    <cellStyle name="Обычный 2 15" xfId="775"/>
    <cellStyle name="Обычный 2 16" xfId="776"/>
    <cellStyle name="Обычный 2 17" xfId="777"/>
    <cellStyle name="Обычный 2 18" xfId="778"/>
    <cellStyle name="Обычный 2 19" xfId="779"/>
    <cellStyle name="Обычный 2 2" xfId="780"/>
    <cellStyle name="Обычный 2 2 2" xfId="781"/>
    <cellStyle name="Обычный 2 2 2 2" xfId="782"/>
    <cellStyle name="Обычный 2 2 3" xfId="783"/>
    <cellStyle name="Обычный 2 2 3 2" xfId="1499"/>
    <cellStyle name="Обычный 2 2 4" xfId="784"/>
    <cellStyle name="Обычный 2 2 4 2" xfId="1604"/>
    <cellStyle name="Обычный 2 2 5" xfId="785"/>
    <cellStyle name="Обычный 2 2 6" xfId="786"/>
    <cellStyle name="Обычный 2 2 7" xfId="787"/>
    <cellStyle name="Обычный 2 2 8" xfId="788"/>
    <cellStyle name="Обычный 2 2 9" xfId="1491"/>
    <cellStyle name="Обычный 2 20" xfId="789"/>
    <cellStyle name="Обычный 2 21" xfId="790"/>
    <cellStyle name="Обычный 2 22" xfId="791"/>
    <cellStyle name="Обычный 2 23" xfId="792"/>
    <cellStyle name="Обычный 2 24" xfId="793"/>
    <cellStyle name="Обычный 2 25" xfId="794"/>
    <cellStyle name="Обычный 2 26" xfId="795"/>
    <cellStyle name="Обычный 2 27" xfId="796"/>
    <cellStyle name="Обычный 2 28" xfId="797"/>
    <cellStyle name="Обычный 2 29" xfId="798"/>
    <cellStyle name="Обычный 2 3" xfId="799"/>
    <cellStyle name="Обычный 2 3 2" xfId="1498"/>
    <cellStyle name="Обычный 2 30" xfId="800"/>
    <cellStyle name="Обычный 2 31" xfId="801"/>
    <cellStyle name="Обычный 2 32" xfId="802"/>
    <cellStyle name="Обычный 2 33" xfId="803"/>
    <cellStyle name="Обычный 2 34" xfId="804"/>
    <cellStyle name="Обычный 2 35" xfId="805"/>
    <cellStyle name="Обычный 2 36" xfId="806"/>
    <cellStyle name="Обычный 2 37" xfId="807"/>
    <cellStyle name="Обычный 2 38" xfId="808"/>
    <cellStyle name="Обычный 2 39" xfId="809"/>
    <cellStyle name="Обычный 2 4" xfId="810"/>
    <cellStyle name="Обычный 2 40" xfId="811"/>
    <cellStyle name="Обычный 2 41" xfId="812"/>
    <cellStyle name="Обычный 2 42" xfId="813"/>
    <cellStyle name="Обычный 2 43" xfId="814"/>
    <cellStyle name="Обычный 2 44" xfId="815"/>
    <cellStyle name="Обычный 2 45" xfId="816"/>
    <cellStyle name="Обычный 2 46" xfId="817"/>
    <cellStyle name="Обычный 2 47" xfId="818"/>
    <cellStyle name="Обычный 2 48" xfId="819"/>
    <cellStyle name="Обычный 2 49" xfId="820"/>
    <cellStyle name="Обычный 2 5" xfId="821"/>
    <cellStyle name="Обычный 2 50" xfId="822"/>
    <cellStyle name="Обычный 2 51" xfId="823"/>
    <cellStyle name="Обычный 2 52" xfId="824"/>
    <cellStyle name="Обычный 2 53" xfId="825"/>
    <cellStyle name="Обычный 2 54" xfId="826"/>
    <cellStyle name="Обычный 2 55" xfId="827"/>
    <cellStyle name="Обычный 2 56" xfId="828"/>
    <cellStyle name="Обычный 2 57" xfId="829"/>
    <cellStyle name="Обычный 2 58" xfId="830"/>
    <cellStyle name="Обычный 2 59" xfId="831"/>
    <cellStyle name="Обычный 2 6" xfId="832"/>
    <cellStyle name="Обычный 2 7" xfId="833"/>
    <cellStyle name="Обычный 2 8" xfId="834"/>
    <cellStyle name="Обычный 2 9" xfId="835"/>
    <cellStyle name="Обычный 2_Копия Копия Форматы представления ИПР субъектами электроэнергетики (по письму Минэнерго) 15 09 10" xfId="1337"/>
    <cellStyle name="Обычный 20" xfId="1338"/>
    <cellStyle name="Обычный 20 2" xfId="1339"/>
    <cellStyle name="Обычный 20 3" xfId="1340"/>
    <cellStyle name="Обычный 20 4" xfId="1341"/>
    <cellStyle name="Обычный 21" xfId="1342"/>
    <cellStyle name="Обычный 21 2" xfId="1343"/>
    <cellStyle name="Обычный 21 3" xfId="1344"/>
    <cellStyle name="Обычный 21 4" xfId="1345"/>
    <cellStyle name="Обычный 22" xfId="1346"/>
    <cellStyle name="Обычный 22 2" xfId="1347"/>
    <cellStyle name="Обычный 22 3" xfId="1348"/>
    <cellStyle name="Обычный 22 4" xfId="1349"/>
    <cellStyle name="Обычный 23" xfId="1350"/>
    <cellStyle name="Обычный 24" xfId="1351"/>
    <cellStyle name="Обычный 24 2" xfId="1352"/>
    <cellStyle name="Обычный 24 3" xfId="1353"/>
    <cellStyle name="Обычный 24 3 2" xfId="1354"/>
    <cellStyle name="Обычный 24 4" xfId="1355"/>
    <cellStyle name="Обычный 25" xfId="1356"/>
    <cellStyle name="Обычный 26" xfId="1534"/>
    <cellStyle name="Обычный 27" xfId="1357"/>
    <cellStyle name="Обычный 28" xfId="1473"/>
    <cellStyle name="Обычный 29" xfId="1438"/>
    <cellStyle name="Обычный 3" xfId="67"/>
    <cellStyle name="Обычный 3 10" xfId="836"/>
    <cellStyle name="Обычный 3 11" xfId="837"/>
    <cellStyle name="Обычный 3 12" xfId="838"/>
    <cellStyle name="Обычный 3 13" xfId="839"/>
    <cellStyle name="Обычный 3 14" xfId="840"/>
    <cellStyle name="Обычный 3 15" xfId="841"/>
    <cellStyle name="Обычный 3 16" xfId="842"/>
    <cellStyle name="Обычный 3 17" xfId="843"/>
    <cellStyle name="Обычный 3 18" xfId="844"/>
    <cellStyle name="Обычный 3 19" xfId="845"/>
    <cellStyle name="Обычный 3 2" xfId="117"/>
    <cellStyle name="Обычный 3 2 2" xfId="1358"/>
    <cellStyle name="Обычный 3 2 2 2" xfId="1359"/>
    <cellStyle name="Обычный 3 2 2 3" xfId="1360"/>
    <cellStyle name="Обычный 3 2 2 3 2" xfId="1361"/>
    <cellStyle name="Обычный 3 2 2 4" xfId="1362"/>
    <cellStyle name="Обычный 3 2 3" xfId="1363"/>
    <cellStyle name="Обычный 3 2 4" xfId="1364"/>
    <cellStyle name="Обычный 3 2 5" xfId="1365"/>
    <cellStyle name="Обычный 3 20" xfId="846"/>
    <cellStyle name="Обычный 3 21" xfId="847"/>
    <cellStyle name="Обычный 3 22" xfId="848"/>
    <cellStyle name="Обычный 3 23" xfId="849"/>
    <cellStyle name="Обычный 3 24" xfId="850"/>
    <cellStyle name="Обычный 3 25" xfId="851"/>
    <cellStyle name="Обычный 3 26" xfId="852"/>
    <cellStyle name="Обычный 3 27" xfId="853"/>
    <cellStyle name="Обычный 3 28" xfId="854"/>
    <cellStyle name="Обычный 3 29" xfId="855"/>
    <cellStyle name="Обычный 3 3" xfId="856"/>
    <cellStyle name="Обычный 3 3 2" xfId="1794"/>
    <cellStyle name="Обычный 3 30" xfId="857"/>
    <cellStyle name="Обычный 3 31" xfId="858"/>
    <cellStyle name="Обычный 3 32" xfId="859"/>
    <cellStyle name="Обычный 3 33" xfId="860"/>
    <cellStyle name="Обычный 3 34" xfId="861"/>
    <cellStyle name="Обычный 3 35" xfId="862"/>
    <cellStyle name="Обычный 3 36" xfId="863"/>
    <cellStyle name="Обычный 3 37" xfId="864"/>
    <cellStyle name="Обычный 3 38" xfId="865"/>
    <cellStyle name="Обычный 3 39" xfId="866"/>
    <cellStyle name="Обычный 3 4" xfId="867"/>
    <cellStyle name="Обычный 3 4 2" xfId="1366"/>
    <cellStyle name="Обычный 3 4 2 2" xfId="1367"/>
    <cellStyle name="Обычный 3 4 2 2 2" xfId="1368"/>
    <cellStyle name="Обычный 3 4 2 3" xfId="1369"/>
    <cellStyle name="Обычный 3 40" xfId="868"/>
    <cellStyle name="Обычный 3 41" xfId="869"/>
    <cellStyle name="Обычный 3 42" xfId="870"/>
    <cellStyle name="Обычный 3 43" xfId="871"/>
    <cellStyle name="Обычный 3 44" xfId="872"/>
    <cellStyle name="Обычный 3 45" xfId="873"/>
    <cellStyle name="Обычный 3 46" xfId="874"/>
    <cellStyle name="Обычный 3 47" xfId="875"/>
    <cellStyle name="Обычный 3 48" xfId="876"/>
    <cellStyle name="Обычный 3 49" xfId="877"/>
    <cellStyle name="Обычный 3 5" xfId="878"/>
    <cellStyle name="Обычный 3 5 2" xfId="1370"/>
    <cellStyle name="Обычный 3 5 2 2" xfId="1371"/>
    <cellStyle name="Обычный 3 5 3" xfId="1372"/>
    <cellStyle name="Обычный 3 50" xfId="879"/>
    <cellStyle name="Обычный 3 51" xfId="880"/>
    <cellStyle name="Обычный 3 52" xfId="881"/>
    <cellStyle name="Обычный 3 53" xfId="882"/>
    <cellStyle name="Обычный 3 54" xfId="883"/>
    <cellStyle name="Обычный 3 55" xfId="884"/>
    <cellStyle name="Обычный 3 56" xfId="885"/>
    <cellStyle name="Обычный 3 57" xfId="886"/>
    <cellStyle name="Обычный 3 58" xfId="887"/>
    <cellStyle name="Обычный 3 59" xfId="888"/>
    <cellStyle name="Обычный 3 6" xfId="889"/>
    <cellStyle name="Обычный 3 6 2" xfId="1373"/>
    <cellStyle name="Обычный 3 60" xfId="1567"/>
    <cellStyle name="Обычный 3 7" xfId="890"/>
    <cellStyle name="Обычный 3 8" xfId="891"/>
    <cellStyle name="Обычный 3 9" xfId="892"/>
    <cellStyle name="Обычный 3_Балансы по потребителям за 2010г" xfId="893"/>
    <cellStyle name="Обычный 30" xfId="1432"/>
    <cellStyle name="Обычный 31" xfId="1439"/>
    <cellStyle name="Обычный 32" xfId="1544"/>
    <cellStyle name="Обычный 33" xfId="1653"/>
    <cellStyle name="Обычный 34" xfId="1645"/>
    <cellStyle name="Обычный 35" xfId="1688"/>
    <cellStyle name="Обычный 36" xfId="1648"/>
    <cellStyle name="Обычный 37" xfId="1690"/>
    <cellStyle name="Обычный 38" xfId="1687"/>
    <cellStyle name="Обычный 39" xfId="1678"/>
    <cellStyle name="Обычный 4" xfId="68"/>
    <cellStyle name="Обычный 4 10" xfId="894"/>
    <cellStyle name="Обычный 4 11" xfId="895"/>
    <cellStyle name="Обычный 4 12" xfId="896"/>
    <cellStyle name="Обычный 4 13" xfId="897"/>
    <cellStyle name="Обычный 4 14" xfId="898"/>
    <cellStyle name="Обычный 4 15" xfId="899"/>
    <cellStyle name="Обычный 4 16" xfId="900"/>
    <cellStyle name="Обычный 4 17" xfId="901"/>
    <cellStyle name="Обычный 4 18" xfId="902"/>
    <cellStyle name="Обычный 4 19" xfId="903"/>
    <cellStyle name="Обычный 4 2" xfId="69"/>
    <cellStyle name="Обычный 4 2 2" xfId="1374"/>
    <cellStyle name="Обычный 4 2 3" xfId="1788"/>
    <cellStyle name="Обычный 4 2_Программа по годам РСК" xfId="1375"/>
    <cellStyle name="Обычный 4 20" xfId="904"/>
    <cellStyle name="Обычный 4 21" xfId="905"/>
    <cellStyle name="Обычный 4 22" xfId="906"/>
    <cellStyle name="Обычный 4 23" xfId="907"/>
    <cellStyle name="Обычный 4 24" xfId="908"/>
    <cellStyle name="Обычный 4 25" xfId="909"/>
    <cellStyle name="Обычный 4 26" xfId="910"/>
    <cellStyle name="Обычный 4 27" xfId="911"/>
    <cellStyle name="Обычный 4 28" xfId="912"/>
    <cellStyle name="Обычный 4 29" xfId="913"/>
    <cellStyle name="Обычный 4 3" xfId="914"/>
    <cellStyle name="Обычный 4 30" xfId="915"/>
    <cellStyle name="Обычный 4 31" xfId="916"/>
    <cellStyle name="Обычный 4 32" xfId="917"/>
    <cellStyle name="Обычный 4 33" xfId="918"/>
    <cellStyle name="Обычный 4 34" xfId="919"/>
    <cellStyle name="Обычный 4 35" xfId="920"/>
    <cellStyle name="Обычный 4 36" xfId="921"/>
    <cellStyle name="Обычный 4 37" xfId="922"/>
    <cellStyle name="Обычный 4 38" xfId="923"/>
    <cellStyle name="Обычный 4 39" xfId="924"/>
    <cellStyle name="Обычный 4 4" xfId="925"/>
    <cellStyle name="Обычный 4 40" xfId="926"/>
    <cellStyle name="Обычный 4 41" xfId="927"/>
    <cellStyle name="Обычный 4 42" xfId="928"/>
    <cellStyle name="Обычный 4 43" xfId="929"/>
    <cellStyle name="Обычный 4 44" xfId="930"/>
    <cellStyle name="Обычный 4 45" xfId="931"/>
    <cellStyle name="Обычный 4 46" xfId="932"/>
    <cellStyle name="Обычный 4 47" xfId="933"/>
    <cellStyle name="Обычный 4 48" xfId="934"/>
    <cellStyle name="Обычный 4 49" xfId="935"/>
    <cellStyle name="Обычный 4 5" xfId="936"/>
    <cellStyle name="Обычный 4 50" xfId="937"/>
    <cellStyle name="Обычный 4 51" xfId="938"/>
    <cellStyle name="Обычный 4 52" xfId="939"/>
    <cellStyle name="Обычный 4 53" xfId="940"/>
    <cellStyle name="Обычный 4 54" xfId="941"/>
    <cellStyle name="Обычный 4 55" xfId="942"/>
    <cellStyle name="Обычный 4 56" xfId="943"/>
    <cellStyle name="Обычный 4 57" xfId="944"/>
    <cellStyle name="Обычный 4 58" xfId="945"/>
    <cellStyle name="Обычный 4 59" xfId="946"/>
    <cellStyle name="Обычный 4 6" xfId="947"/>
    <cellStyle name="Обычный 4 60" xfId="1568"/>
    <cellStyle name="Обычный 4 61" xfId="1437"/>
    <cellStyle name="Обычный 4 62" xfId="1428"/>
    <cellStyle name="Обычный 4 63" xfId="1409"/>
    <cellStyle name="Обычный 4 64" xfId="1527"/>
    <cellStyle name="Обычный 4 65" xfId="1628"/>
    <cellStyle name="Обычный 4 66" xfId="1647"/>
    <cellStyle name="Обычный 4 67" xfId="1659"/>
    <cellStyle name="Обычный 4 68" xfId="1637"/>
    <cellStyle name="Обычный 4 69" xfId="1649"/>
    <cellStyle name="Обычный 4 7" xfId="948"/>
    <cellStyle name="Обычный 4 70" xfId="1640"/>
    <cellStyle name="Обычный 4 71" xfId="1638"/>
    <cellStyle name="Обычный 4 72" xfId="1656"/>
    <cellStyle name="Обычный 4 73" xfId="1695"/>
    <cellStyle name="Обычный 4 74" xfId="1772"/>
    <cellStyle name="Обычный 4 75" xfId="1701"/>
    <cellStyle name="Обычный 4 76" xfId="1778"/>
    <cellStyle name="Обычный 4 77" xfId="1751"/>
    <cellStyle name="Обычный 4 78" xfId="1774"/>
    <cellStyle name="Обычный 4 8" xfId="949"/>
    <cellStyle name="Обычный 4 9" xfId="950"/>
    <cellStyle name="Обычный 4_Программа по годам РСК" xfId="1376"/>
    <cellStyle name="Обычный 40" xfId="1691"/>
    <cellStyle name="Обычный 41" xfId="1753"/>
    <cellStyle name="Обычный 42" xfId="1696"/>
    <cellStyle name="Обычный 43" xfId="1749"/>
    <cellStyle name="Обычный 44" xfId="1761"/>
    <cellStyle name="Обычный 45" xfId="1770"/>
    <cellStyle name="Обычный 5" xfId="70"/>
    <cellStyle name="Обычный 5 10" xfId="951"/>
    <cellStyle name="Обычный 5 11" xfId="952"/>
    <cellStyle name="Обычный 5 12" xfId="953"/>
    <cellStyle name="Обычный 5 13" xfId="954"/>
    <cellStyle name="Обычный 5 14" xfId="955"/>
    <cellStyle name="Обычный 5 15" xfId="956"/>
    <cellStyle name="Обычный 5 16" xfId="957"/>
    <cellStyle name="Обычный 5 17" xfId="958"/>
    <cellStyle name="Обычный 5 18" xfId="959"/>
    <cellStyle name="Обычный 5 19" xfId="960"/>
    <cellStyle name="Обычный 5 2" xfId="961"/>
    <cellStyle name="Обычный 5 2 2" xfId="1496"/>
    <cellStyle name="Обычный 5 20" xfId="962"/>
    <cellStyle name="Обычный 5 21" xfId="963"/>
    <cellStyle name="Обычный 5 22" xfId="964"/>
    <cellStyle name="Обычный 5 23" xfId="965"/>
    <cellStyle name="Обычный 5 24" xfId="966"/>
    <cellStyle name="Обычный 5 25" xfId="967"/>
    <cellStyle name="Обычный 5 26" xfId="968"/>
    <cellStyle name="Обычный 5 27" xfId="969"/>
    <cellStyle name="Обычный 5 28" xfId="970"/>
    <cellStyle name="Обычный 5 29" xfId="971"/>
    <cellStyle name="Обычный 5 3" xfId="972"/>
    <cellStyle name="Обычный 5 30" xfId="973"/>
    <cellStyle name="Обычный 5 31" xfId="974"/>
    <cellStyle name="Обычный 5 32" xfId="975"/>
    <cellStyle name="Обычный 5 33" xfId="976"/>
    <cellStyle name="Обычный 5 34" xfId="977"/>
    <cellStyle name="Обычный 5 35" xfId="978"/>
    <cellStyle name="Обычный 5 36" xfId="979"/>
    <cellStyle name="Обычный 5 37" xfId="980"/>
    <cellStyle name="Обычный 5 38" xfId="981"/>
    <cellStyle name="Обычный 5 39" xfId="982"/>
    <cellStyle name="Обычный 5 4" xfId="983"/>
    <cellStyle name="Обычный 5 40" xfId="984"/>
    <cellStyle name="Обычный 5 41" xfId="985"/>
    <cellStyle name="Обычный 5 42" xfId="986"/>
    <cellStyle name="Обычный 5 43" xfId="987"/>
    <cellStyle name="Обычный 5 44" xfId="988"/>
    <cellStyle name="Обычный 5 45" xfId="989"/>
    <cellStyle name="Обычный 5 46" xfId="990"/>
    <cellStyle name="Обычный 5 47" xfId="991"/>
    <cellStyle name="Обычный 5 48" xfId="992"/>
    <cellStyle name="Обычный 5 49" xfId="993"/>
    <cellStyle name="Обычный 5 5" xfId="994"/>
    <cellStyle name="Обычный 5 50" xfId="995"/>
    <cellStyle name="Обычный 5 51" xfId="996"/>
    <cellStyle name="Обычный 5 52" xfId="997"/>
    <cellStyle name="Обычный 5 53" xfId="998"/>
    <cellStyle name="Обычный 5 54" xfId="999"/>
    <cellStyle name="Обычный 5 55" xfId="1000"/>
    <cellStyle name="Обычный 5 56" xfId="1001"/>
    <cellStyle name="Обычный 5 57" xfId="1002"/>
    <cellStyle name="Обычный 5 58" xfId="1003"/>
    <cellStyle name="Обычный 5 59" xfId="1004"/>
    <cellStyle name="Обычный 5 6" xfId="1005"/>
    <cellStyle name="Обычный 5 7" xfId="1006"/>
    <cellStyle name="Обычный 5 8" xfId="1007"/>
    <cellStyle name="Обычный 5 9" xfId="1008"/>
    <cellStyle name="Обычный 5_Программа по годам РСК" xfId="1377"/>
    <cellStyle name="Обычный 6" xfId="1009"/>
    <cellStyle name="Обычный 6 2" xfId="1378"/>
    <cellStyle name="Обычный 6 2 2" xfId="1495"/>
    <cellStyle name="Обычный 6 3" xfId="1379"/>
    <cellStyle name="Обычный 6 3 2" xfId="1605"/>
    <cellStyle name="Обычный 6 4" xfId="1380"/>
    <cellStyle name="Обычный 6 5" xfId="1535"/>
    <cellStyle name="Обычный 6 6" xfId="1793"/>
    <cellStyle name="Обычный 7" xfId="118"/>
    <cellStyle name="Обычный 7 10" xfId="1010"/>
    <cellStyle name="Обычный 7 11" xfId="1011"/>
    <cellStyle name="Обычный 7 12" xfId="1012"/>
    <cellStyle name="Обычный 7 13" xfId="1013"/>
    <cellStyle name="Обычный 7 14" xfId="1014"/>
    <cellStyle name="Обычный 7 15" xfId="1015"/>
    <cellStyle name="Обычный 7 16" xfId="1016"/>
    <cellStyle name="Обычный 7 17" xfId="1017"/>
    <cellStyle name="Обычный 7 18" xfId="1018"/>
    <cellStyle name="Обычный 7 19" xfId="1019"/>
    <cellStyle name="Обычный 7 2" xfId="1020"/>
    <cellStyle name="Обычный 7 20" xfId="1021"/>
    <cellStyle name="Обычный 7 21" xfId="1022"/>
    <cellStyle name="Обычный 7 22" xfId="1023"/>
    <cellStyle name="Обычный 7 23" xfId="1024"/>
    <cellStyle name="Обычный 7 24" xfId="1025"/>
    <cellStyle name="Обычный 7 25" xfId="1026"/>
    <cellStyle name="Обычный 7 26" xfId="1027"/>
    <cellStyle name="Обычный 7 27" xfId="1028"/>
    <cellStyle name="Обычный 7 28" xfId="1029"/>
    <cellStyle name="Обычный 7 29" xfId="1030"/>
    <cellStyle name="Обычный 7 3" xfId="1031"/>
    <cellStyle name="Обычный 7 30" xfId="1032"/>
    <cellStyle name="Обычный 7 31" xfId="1033"/>
    <cellStyle name="Обычный 7 32" xfId="1034"/>
    <cellStyle name="Обычный 7 33" xfId="1035"/>
    <cellStyle name="Обычный 7 34" xfId="1036"/>
    <cellStyle name="Обычный 7 35" xfId="1037"/>
    <cellStyle name="Обычный 7 36" xfId="1038"/>
    <cellStyle name="Обычный 7 37" xfId="1039"/>
    <cellStyle name="Обычный 7 38" xfId="1040"/>
    <cellStyle name="Обычный 7 39" xfId="1041"/>
    <cellStyle name="Обычный 7 4" xfId="1042"/>
    <cellStyle name="Обычный 7 40" xfId="1043"/>
    <cellStyle name="Обычный 7 41" xfId="1044"/>
    <cellStyle name="Обычный 7 42" xfId="1045"/>
    <cellStyle name="Обычный 7 43" xfId="1046"/>
    <cellStyle name="Обычный 7 44" xfId="1047"/>
    <cellStyle name="Обычный 7 45" xfId="1048"/>
    <cellStyle name="Обычный 7 46" xfId="1049"/>
    <cellStyle name="Обычный 7 47" xfId="1050"/>
    <cellStyle name="Обычный 7 48" xfId="1051"/>
    <cellStyle name="Обычный 7 49" xfId="1052"/>
    <cellStyle name="Обычный 7 5" xfId="1053"/>
    <cellStyle name="Обычный 7 50" xfId="1054"/>
    <cellStyle name="Обычный 7 51" xfId="1055"/>
    <cellStyle name="Обычный 7 52" xfId="1056"/>
    <cellStyle name="Обычный 7 53" xfId="1057"/>
    <cellStyle name="Обычный 7 54" xfId="1058"/>
    <cellStyle name="Обычный 7 55" xfId="1059"/>
    <cellStyle name="Обычный 7 56" xfId="1060"/>
    <cellStyle name="Обычный 7 57" xfId="1061"/>
    <cellStyle name="Обычный 7 58" xfId="1062"/>
    <cellStyle name="Обычный 7 59" xfId="1063"/>
    <cellStyle name="Обычный 7 6" xfId="1064"/>
    <cellStyle name="Обычный 7 60" xfId="1769"/>
    <cellStyle name="Обычный 7 7" xfId="1065"/>
    <cellStyle name="Обычный 7 8" xfId="1066"/>
    <cellStyle name="Обычный 7 9" xfId="1067"/>
    <cellStyle name="Обычный 8" xfId="119"/>
    <cellStyle name="Обычный 8 2" xfId="1381"/>
    <cellStyle name="Обычный 8 3" xfId="1382"/>
    <cellStyle name="Обычный 8 4" xfId="1383"/>
    <cellStyle name="Обычный 8 5" xfId="1384"/>
    <cellStyle name="Обычный 9" xfId="120"/>
    <cellStyle name="Обычный 9 10" xfId="1068"/>
    <cellStyle name="Обычный 9 11" xfId="1069"/>
    <cellStyle name="Обычный 9 12" xfId="1070"/>
    <cellStyle name="Обычный 9 13" xfId="1071"/>
    <cellStyle name="Обычный 9 14" xfId="1072"/>
    <cellStyle name="Обычный 9 15" xfId="1073"/>
    <cellStyle name="Обычный 9 16" xfId="1074"/>
    <cellStyle name="Обычный 9 17" xfId="1075"/>
    <cellStyle name="Обычный 9 18" xfId="1076"/>
    <cellStyle name="Обычный 9 19" xfId="1077"/>
    <cellStyle name="Обычный 9 2" xfId="1078"/>
    <cellStyle name="Обычный 9 20" xfId="1079"/>
    <cellStyle name="Обычный 9 21" xfId="1080"/>
    <cellStyle name="Обычный 9 22" xfId="1081"/>
    <cellStyle name="Обычный 9 23" xfId="1082"/>
    <cellStyle name="Обычный 9 24" xfId="1083"/>
    <cellStyle name="Обычный 9 25" xfId="1084"/>
    <cellStyle name="Обычный 9 26" xfId="1085"/>
    <cellStyle name="Обычный 9 27" xfId="1086"/>
    <cellStyle name="Обычный 9 28" xfId="1087"/>
    <cellStyle name="Обычный 9 29" xfId="1088"/>
    <cellStyle name="Обычный 9 3" xfId="1089"/>
    <cellStyle name="Обычный 9 30" xfId="1090"/>
    <cellStyle name="Обычный 9 31" xfId="1091"/>
    <cellStyle name="Обычный 9 32" xfId="1092"/>
    <cellStyle name="Обычный 9 33" xfId="1093"/>
    <cellStyle name="Обычный 9 34" xfId="1094"/>
    <cellStyle name="Обычный 9 35" xfId="1095"/>
    <cellStyle name="Обычный 9 36" xfId="1096"/>
    <cellStyle name="Обычный 9 37" xfId="1097"/>
    <cellStyle name="Обычный 9 38" xfId="1098"/>
    <cellStyle name="Обычный 9 39" xfId="1099"/>
    <cellStyle name="Обычный 9 4" xfId="1100"/>
    <cellStyle name="Обычный 9 40" xfId="1101"/>
    <cellStyle name="Обычный 9 41" xfId="1102"/>
    <cellStyle name="Обычный 9 42" xfId="1103"/>
    <cellStyle name="Обычный 9 43" xfId="1104"/>
    <cellStyle name="Обычный 9 44" xfId="1105"/>
    <cellStyle name="Обычный 9 45" xfId="1106"/>
    <cellStyle name="Обычный 9 46" xfId="1107"/>
    <cellStyle name="Обычный 9 47" xfId="1108"/>
    <cellStyle name="Обычный 9 48" xfId="1109"/>
    <cellStyle name="Обычный 9 49" xfId="1110"/>
    <cellStyle name="Обычный 9 5" xfId="1111"/>
    <cellStyle name="Обычный 9 50" xfId="1112"/>
    <cellStyle name="Обычный 9 51" xfId="1113"/>
    <cellStyle name="Обычный 9 52" xfId="1114"/>
    <cellStyle name="Обычный 9 53" xfId="1115"/>
    <cellStyle name="Обычный 9 54" xfId="1116"/>
    <cellStyle name="Обычный 9 55" xfId="1117"/>
    <cellStyle name="Обычный 9 56" xfId="1118"/>
    <cellStyle name="Обычный 9 57" xfId="1119"/>
    <cellStyle name="Обычный 9 58" xfId="1120"/>
    <cellStyle name="Обычный 9 59" xfId="1121"/>
    <cellStyle name="Обычный 9 6" xfId="1122"/>
    <cellStyle name="Обычный 9 7" xfId="1123"/>
    <cellStyle name="Обычный 9 8" xfId="1124"/>
    <cellStyle name="Обычный 9 9" xfId="1125"/>
    <cellStyle name="Обычный_Ф4-Показатели баланса" xfId="1838"/>
    <cellStyle name="Параметр" xfId="1385"/>
    <cellStyle name="ПеременныеСметы" xfId="1386"/>
    <cellStyle name="Плохой 2" xfId="1126"/>
    <cellStyle name="Плохой 2 2" xfId="1492"/>
    <cellStyle name="Поле ввода" xfId="1387"/>
    <cellStyle name="Пояснение 2" xfId="1127"/>
    <cellStyle name="Примечание 2" xfId="1128"/>
    <cellStyle name="Примечание 2 2" xfId="1606"/>
    <cellStyle name="Примечание 3" xfId="1419"/>
    <cellStyle name="Процентный" xfId="1837" builtinId="5"/>
    <cellStyle name="Процентный 10" xfId="71"/>
    <cellStyle name="Процентный 10 10" xfId="1129"/>
    <cellStyle name="Процентный 10 10 2" xfId="1782"/>
    <cellStyle name="Процентный 10 2" xfId="1784"/>
    <cellStyle name="Процентный 10 2 2" xfId="1694"/>
    <cellStyle name="Процентный 11" xfId="72"/>
    <cellStyle name="Процентный 11 2" xfId="1746"/>
    <cellStyle name="Процентный 11 3" xfId="1698"/>
    <cellStyle name="Процентный 12" xfId="1388"/>
    <cellStyle name="Процентный 12 2" xfId="1781"/>
    <cellStyle name="Процентный 2" xfId="73"/>
    <cellStyle name="Процентный 2 10" xfId="74"/>
    <cellStyle name="Процентный 2 10 2" xfId="1697"/>
    <cellStyle name="Процентный 2 11" xfId="1389"/>
    <cellStyle name="Процентный 2 11 2" xfId="1728"/>
    <cellStyle name="Процентный 2 2" xfId="75"/>
    <cellStyle name="Процентный 2 2 2" xfId="1130"/>
    <cellStyle name="Процентный 2 2 2 2" xfId="1420"/>
    <cellStyle name="Процентный 2 2 3" xfId="1411"/>
    <cellStyle name="Процентный 2 2 4" xfId="1795"/>
    <cellStyle name="Процентный 2 3" xfId="76"/>
    <cellStyle name="Процентный 2 3 2" xfId="1607"/>
    <cellStyle name="Процентный 2 3 2 2" xfId="1780"/>
    <cellStyle name="Процентный 2 4" xfId="77"/>
    <cellStyle name="Процентный 2 4 2" xfId="1699"/>
    <cellStyle name="Процентный 2 5" xfId="78"/>
    <cellStyle name="Процентный 2 5 2" xfId="1766"/>
    <cellStyle name="Процентный 2 6" xfId="79"/>
    <cellStyle name="Процентный 2 6 2" xfId="1731"/>
    <cellStyle name="Процентный 2 7" xfId="80"/>
    <cellStyle name="Процентный 2 7 2" xfId="1750"/>
    <cellStyle name="Процентный 2 8" xfId="81"/>
    <cellStyle name="Процентный 2 8 2" xfId="1713"/>
    <cellStyle name="Процентный 2 9" xfId="82"/>
    <cellStyle name="Процентный 2 9 2" xfId="1776"/>
    <cellStyle name="Процентный 3" xfId="83"/>
    <cellStyle name="Процентный 3 2" xfId="1131"/>
    <cellStyle name="Процентный 3 2 2" xfId="1730"/>
    <cellStyle name="Процентный 3 3" xfId="1132"/>
    <cellStyle name="Процентный 3 4" xfId="1133"/>
    <cellStyle name="Процентный 3 5" xfId="1134"/>
    <cellStyle name="Процентный 3 6" xfId="1135"/>
    <cellStyle name="Процентный 3 7" xfId="1136"/>
    <cellStyle name="Процентный 3 8" xfId="1137"/>
    <cellStyle name="Процентный 4" xfId="84"/>
    <cellStyle name="Процентный 4 2" xfId="1608"/>
    <cellStyle name="Процентный 4 2 2" xfId="1700"/>
    <cellStyle name="Процентный 4 3" xfId="1550"/>
    <cellStyle name="Процентный 5" xfId="85"/>
    <cellStyle name="Процентный 5 2" xfId="1448"/>
    <cellStyle name="Процентный 5 2 2" xfId="1767"/>
    <cellStyle name="Процентный 6" xfId="86"/>
    <cellStyle name="Процентный 6 2" xfId="1754"/>
    <cellStyle name="Процентный 7" xfId="87"/>
    <cellStyle name="Процентный 7 2" xfId="1693"/>
    <cellStyle name="Процентный 8" xfId="88"/>
    <cellStyle name="Процентный 8 2" xfId="1737"/>
    <cellStyle name="Процентный 9" xfId="89"/>
    <cellStyle name="Процентный 9 2" xfId="1763"/>
    <cellStyle name="РесСмета" xfId="1390"/>
    <cellStyle name="СводкаСтоимРаб" xfId="1391"/>
    <cellStyle name="Связанная ячейка 2" xfId="1138"/>
    <cellStyle name="Стиль 1" xfId="90"/>
    <cellStyle name="Стиль 1 10" xfId="1139"/>
    <cellStyle name="Стиль 1 11" xfId="1140"/>
    <cellStyle name="Стиль 1 12" xfId="1141"/>
    <cellStyle name="Стиль 1 13" xfId="1142"/>
    <cellStyle name="Стиль 1 14" xfId="1143"/>
    <cellStyle name="Стиль 1 15" xfId="1144"/>
    <cellStyle name="Стиль 1 16" xfId="1145"/>
    <cellStyle name="Стиль 1 17" xfId="1146"/>
    <cellStyle name="Стиль 1 18" xfId="1147"/>
    <cellStyle name="Стиль 1 19" xfId="1148"/>
    <cellStyle name="Стиль 1 2" xfId="1149"/>
    <cellStyle name="Стиль 1 2 2" xfId="1392"/>
    <cellStyle name="Стиль 1 2 2 2" xfId="1542"/>
    <cellStyle name="Стиль 1 2_Приложение 4" xfId="1393"/>
    <cellStyle name="Стиль 1 20" xfId="1150"/>
    <cellStyle name="Стиль 1 21" xfId="1151"/>
    <cellStyle name="Стиль 1 22" xfId="1152"/>
    <cellStyle name="Стиль 1 23" xfId="1153"/>
    <cellStyle name="Стиль 1 24" xfId="1154"/>
    <cellStyle name="Стиль 1 25" xfId="1155"/>
    <cellStyle name="Стиль 1 26" xfId="1156"/>
    <cellStyle name="Стиль 1 27" xfId="1157"/>
    <cellStyle name="Стиль 1 28" xfId="1158"/>
    <cellStyle name="Стиль 1 29" xfId="1159"/>
    <cellStyle name="Стиль 1 3" xfId="1160"/>
    <cellStyle name="Стиль 1 3 2" xfId="1394"/>
    <cellStyle name="Стиль 1 30" xfId="1161"/>
    <cellStyle name="Стиль 1 31" xfId="1162"/>
    <cellStyle name="Стиль 1 32" xfId="1163"/>
    <cellStyle name="Стиль 1 33" xfId="1164"/>
    <cellStyle name="Стиль 1 34" xfId="1165"/>
    <cellStyle name="Стиль 1 35" xfId="1166"/>
    <cellStyle name="Стиль 1 36" xfId="1167"/>
    <cellStyle name="Стиль 1 37" xfId="1168"/>
    <cellStyle name="Стиль 1 38" xfId="1169"/>
    <cellStyle name="Стиль 1 39" xfId="1170"/>
    <cellStyle name="Стиль 1 4" xfId="1171"/>
    <cellStyle name="Стиль 1 4 2" xfId="1543"/>
    <cellStyle name="Стиль 1 40" xfId="1172"/>
    <cellStyle name="Стиль 1 41" xfId="1173"/>
    <cellStyle name="Стиль 1 42" xfId="1174"/>
    <cellStyle name="Стиль 1 43" xfId="1175"/>
    <cellStyle name="Стиль 1 44" xfId="1176"/>
    <cellStyle name="Стиль 1 45" xfId="1177"/>
    <cellStyle name="Стиль 1 46" xfId="1178"/>
    <cellStyle name="Стиль 1 47" xfId="1179"/>
    <cellStyle name="Стиль 1 48" xfId="1180"/>
    <cellStyle name="Стиль 1 49" xfId="1181"/>
    <cellStyle name="Стиль 1 5" xfId="1182"/>
    <cellStyle name="Стиль 1 50" xfId="1183"/>
    <cellStyle name="Стиль 1 51" xfId="1184"/>
    <cellStyle name="Стиль 1 52" xfId="1185"/>
    <cellStyle name="Стиль 1 53" xfId="1186"/>
    <cellStyle name="Стиль 1 54" xfId="1187"/>
    <cellStyle name="Стиль 1 55" xfId="1188"/>
    <cellStyle name="Стиль 1 56" xfId="1189"/>
    <cellStyle name="Стиль 1 57" xfId="1190"/>
    <cellStyle name="Стиль 1 58" xfId="1191"/>
    <cellStyle name="Стиль 1 59" xfId="1192"/>
    <cellStyle name="Стиль 1 6" xfId="1193"/>
    <cellStyle name="Стиль 1 60" xfId="1787"/>
    <cellStyle name="Стиль 1 61" xfId="1789"/>
    <cellStyle name="Стиль 1 62" xfId="1800"/>
    <cellStyle name="Стиль 1 63" xfId="1790"/>
    <cellStyle name="Стиль 1 64" xfId="1785"/>
    <cellStyle name="Стиль 1 65" xfId="1801"/>
    <cellStyle name="Стиль 1 66" xfId="1786"/>
    <cellStyle name="Стиль 1 67" xfId="1799"/>
    <cellStyle name="Стиль 1 7" xfId="1194"/>
    <cellStyle name="Стиль 1 8" xfId="1195"/>
    <cellStyle name="Стиль 1 9" xfId="1196"/>
    <cellStyle name="Стиль 1_6 Смета затрат" xfId="1835"/>
    <cellStyle name="Стиль_названий" xfId="1395"/>
    <cellStyle name="Строка нечётная" xfId="1396"/>
    <cellStyle name="Строка чётная" xfId="1397"/>
    <cellStyle name="Текст предупреждения 2" xfId="1197"/>
    <cellStyle name="Текстовый" xfId="1398"/>
    <cellStyle name="Титул" xfId="1399"/>
    <cellStyle name="Тысячи [0]_1 год" xfId="1400"/>
    <cellStyle name="Тысячи_1 год" xfId="1401"/>
    <cellStyle name="Финансовый" xfId="1836" builtinId="3"/>
    <cellStyle name="Финансовый 10" xfId="91"/>
    <cellStyle name="Финансовый 10 10" xfId="1760"/>
    <cellStyle name="Финансовый 10 10 2" xfId="1729"/>
    <cellStyle name="Финансовый 10 2" xfId="1741"/>
    <cellStyle name="Финансовый 10 2 2" xfId="1704"/>
    <cellStyle name="Финансовый 10 3" xfId="1716"/>
    <cellStyle name="Финансовый 11" xfId="1402"/>
    <cellStyle name="Финансовый 11 2" xfId="1735"/>
    <cellStyle name="Финансовый 11 3" xfId="1773"/>
    <cellStyle name="Финансовый 11 4" xfId="1712"/>
    <cellStyle name="Финансовый 12" xfId="1451"/>
    <cellStyle name="Финансовый 12 2" xfId="1771"/>
    <cellStyle name="Финансовый 2" xfId="92"/>
    <cellStyle name="Финансовый 2 10" xfId="93"/>
    <cellStyle name="Финансовый 2 10 2" xfId="1546"/>
    <cellStyle name="Финансовый 2 10 2 2" xfId="1779"/>
    <cellStyle name="Финансовый 2 11" xfId="1403"/>
    <cellStyle name="Финансовый 2 12" xfId="1404"/>
    <cellStyle name="Финансовый 2 13" xfId="1405"/>
    <cellStyle name="Финансовый 2 14" xfId="1537"/>
    <cellStyle name="Финансовый 2 2" xfId="94"/>
    <cellStyle name="Финансовый 2 2 2" xfId="1198"/>
    <cellStyle name="Финансовый 2 2 3" xfId="1199"/>
    <cellStyle name="Финансовый 2 2 4" xfId="1200"/>
    <cellStyle name="Финансовый 2 2 5" xfId="1201"/>
    <cellStyle name="Финансовый 2 2 6" xfId="1202"/>
    <cellStyle name="Финансовый 2 2 7" xfId="1203"/>
    <cellStyle name="Финансовый 2 2 8" xfId="1204"/>
    <cellStyle name="Финансовый 2 2 9" xfId="1791"/>
    <cellStyle name="Финансовый 2 3" xfId="95"/>
    <cellStyle name="Финансовый 2 3 2" xfId="1547"/>
    <cellStyle name="Финансовый 2 3 2 2" xfId="1727"/>
    <cellStyle name="Финансовый 2 4" xfId="96"/>
    <cellStyle name="Финансовый 2 4 2" xfId="1705"/>
    <cellStyle name="Финансовый 2 5" xfId="97"/>
    <cellStyle name="Финансовый 2 5 2" xfId="1745"/>
    <cellStyle name="Финансовый 2 6" xfId="98"/>
    <cellStyle name="Финансовый 2 6 2" xfId="1706"/>
    <cellStyle name="Финансовый 2 7" xfId="99"/>
    <cellStyle name="Финансовый 2 7 2" xfId="1755"/>
    <cellStyle name="Финансовый 2 8" xfId="100"/>
    <cellStyle name="Финансовый 2 8 2" xfId="1707"/>
    <cellStyle name="Финансовый 2 9" xfId="101"/>
    <cellStyle name="Финансовый 2 9 2" xfId="1714"/>
    <cellStyle name="Финансовый 3" xfId="102"/>
    <cellStyle name="Финансовый 3 2" xfId="1427"/>
    <cellStyle name="Финансовый 3 2 2" xfId="1548"/>
    <cellStyle name="Финансовый 3 2 2 2" xfId="1798"/>
    <cellStyle name="Финансовый 3 2 2 3" xfId="1797"/>
    <cellStyle name="Финансовый 3 2 3" xfId="1449"/>
    <cellStyle name="Финансовый 3 2 4" xfId="1796"/>
    <cellStyle name="Финансовый 3 3" xfId="1549"/>
    <cellStyle name="Финансовый 3 4" xfId="1421"/>
    <cellStyle name="Финансовый 3 5" xfId="1536"/>
    <cellStyle name="Финансовый 4" xfId="103"/>
    <cellStyle name="Финансовый 4 2" xfId="1422"/>
    <cellStyle name="Финансовый 4 2 2" xfId="1734"/>
    <cellStyle name="Финансовый 4 3" xfId="1538"/>
    <cellStyle name="Финансовый 4 3 2" xfId="1802"/>
    <cellStyle name="Финансовый 5" xfId="104"/>
    <cellStyle name="Финансовый 5 12" xfId="1423"/>
    <cellStyle name="Финансовый 5 17" xfId="1565"/>
    <cellStyle name="Финансовый 5 2" xfId="1424"/>
    <cellStyle name="Финансовый 5 2 2" xfId="1708"/>
    <cellStyle name="Финансовый 5 3" xfId="1452"/>
    <cellStyle name="Финансовый 5 4" xfId="1792"/>
    <cellStyle name="Финансовый 6" xfId="105"/>
    <cellStyle name="Финансовый 6 2" xfId="1777"/>
    <cellStyle name="Финансовый 7" xfId="106"/>
    <cellStyle name="Финансовый 7 2" xfId="1703"/>
    <cellStyle name="Финансовый 8" xfId="107"/>
    <cellStyle name="Финансовый 8 2" xfId="1783"/>
    <cellStyle name="Финансовый 9" xfId="108"/>
    <cellStyle name="Финансовый 9 2" xfId="1709"/>
    <cellStyle name="Формула" xfId="1205"/>
    <cellStyle name="ФормулаВБ" xfId="1406"/>
    <cellStyle name="ФормулаНаКонтроль" xfId="1206"/>
    <cellStyle name="Хвост" xfId="1407"/>
    <cellStyle name="Хороший 2" xfId="1207"/>
    <cellStyle name="Хороший 2 2" xfId="1494"/>
    <cellStyle name="Џђћ–…ќ’ќ›‰" xfId="1208"/>
    <cellStyle name="Экспертиза" xfId="1408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P52"/>
  <sheetViews>
    <sheetView tabSelected="1" view="pageBreakPreview" topLeftCell="B1" zoomScale="70" zoomScaleSheetLayoutView="70" workbookViewId="0">
      <selection activeCell="R13" sqref="R13"/>
    </sheetView>
  </sheetViews>
  <sheetFormatPr defaultRowHeight="15"/>
  <cols>
    <col min="1" max="1" width="36.5703125" customWidth="1"/>
    <col min="2" max="2" width="18.85546875" customWidth="1"/>
    <col min="3" max="3" width="10.85546875" customWidth="1"/>
    <col min="4" max="4" width="17.5703125" style="2" customWidth="1"/>
    <col min="5" max="5" width="15" style="2" customWidth="1"/>
    <col min="6" max="6" width="12.7109375" customWidth="1"/>
    <col min="7" max="7" width="15" style="2" customWidth="1"/>
    <col min="8" max="8" width="24.7109375" style="2" customWidth="1"/>
    <col min="9" max="10" width="12.5703125" style="2" customWidth="1"/>
    <col min="11" max="11" width="12.7109375" style="2" customWidth="1"/>
    <col min="12" max="12" width="16" customWidth="1"/>
    <col min="13" max="16" width="15.42578125" style="2" customWidth="1"/>
  </cols>
  <sheetData>
    <row r="1" spans="1:16">
      <c r="P1" s="22" t="s">
        <v>297</v>
      </c>
    </row>
    <row r="2" spans="1:16" s="5" customFormat="1" ht="32.25" customHeight="1">
      <c r="A2" s="313"/>
      <c r="B2" s="313"/>
      <c r="G2" s="3"/>
      <c r="M2" s="314" t="s">
        <v>352</v>
      </c>
      <c r="N2" s="314"/>
      <c r="O2" s="314"/>
      <c r="P2" s="314"/>
    </row>
    <row r="3" spans="1:16" s="5" customFormat="1" ht="18.75">
      <c r="A3" s="299"/>
      <c r="B3" s="299"/>
      <c r="G3" s="3"/>
      <c r="M3" s="315" t="s">
        <v>0</v>
      </c>
      <c r="N3" s="315"/>
      <c r="O3" s="315"/>
      <c r="P3" s="315"/>
    </row>
    <row r="4" spans="1:16" s="5" customFormat="1" ht="31.5" customHeight="1">
      <c r="A4" s="316"/>
      <c r="B4" s="316"/>
      <c r="G4" s="3"/>
      <c r="M4" s="317" t="s">
        <v>370</v>
      </c>
      <c r="N4" s="317"/>
      <c r="O4" s="317"/>
      <c r="P4" s="317"/>
    </row>
    <row r="5" spans="1:16" s="5" customFormat="1" ht="15.75" customHeight="1">
      <c r="A5" s="311"/>
      <c r="B5" s="311"/>
      <c r="G5" s="6"/>
      <c r="M5" s="311" t="s">
        <v>1</v>
      </c>
      <c r="N5" s="311"/>
      <c r="O5" s="311"/>
      <c r="P5" s="311"/>
    </row>
    <row r="6" spans="1:16" s="5" customFormat="1" ht="18.75">
      <c r="A6" s="300"/>
      <c r="B6" s="300"/>
      <c r="G6" s="4"/>
      <c r="M6" s="312" t="s">
        <v>353</v>
      </c>
      <c r="N6" s="312"/>
      <c r="O6" s="312"/>
      <c r="P6" s="312"/>
    </row>
    <row r="7" spans="1:16" ht="15.75" hidden="1">
      <c r="H7" s="300"/>
      <c r="I7" s="300"/>
      <c r="J7" s="300"/>
      <c r="K7" s="300"/>
      <c r="L7" s="300"/>
      <c r="M7" s="300"/>
      <c r="N7" s="300"/>
      <c r="O7" s="300"/>
      <c r="P7" s="300"/>
    </row>
    <row r="8" spans="1:16" hidden="1"/>
    <row r="10" spans="1:16">
      <c r="A10" s="318" t="s">
        <v>2</v>
      </c>
      <c r="B10" s="318"/>
      <c r="C10" s="318"/>
      <c r="D10" s="318"/>
      <c r="E10" s="318"/>
      <c r="F10" s="318"/>
      <c r="G10" s="318"/>
      <c r="H10" s="318"/>
      <c r="I10" s="318"/>
      <c r="J10" s="318"/>
      <c r="K10" s="318"/>
      <c r="L10" s="318"/>
      <c r="M10" s="318"/>
      <c r="N10" s="318"/>
      <c r="O10" s="318"/>
      <c r="P10" s="318"/>
    </row>
    <row r="11" spans="1:16">
      <c r="A11" s="156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</row>
    <row r="12" spans="1:16">
      <c r="A12" s="318" t="s">
        <v>3</v>
      </c>
      <c r="B12" s="318"/>
      <c r="C12" s="318"/>
      <c r="D12" s="318"/>
      <c r="E12" s="318"/>
      <c r="F12" s="318"/>
      <c r="G12" s="318"/>
      <c r="H12" s="318"/>
      <c r="I12" s="318"/>
      <c r="J12" s="318"/>
      <c r="K12" s="318"/>
      <c r="L12" s="318"/>
      <c r="M12" s="318"/>
      <c r="N12" s="318"/>
      <c r="O12" s="318"/>
      <c r="P12" s="318"/>
    </row>
    <row r="13" spans="1:16">
      <c r="A13" s="318" t="s">
        <v>4</v>
      </c>
      <c r="B13" s="318"/>
      <c r="C13" s="318"/>
      <c r="D13" s="318"/>
      <c r="E13" s="318"/>
      <c r="F13" s="318"/>
      <c r="G13" s="318"/>
      <c r="H13" s="318"/>
      <c r="I13" s="318"/>
      <c r="J13" s="318"/>
      <c r="K13" s="318"/>
      <c r="L13" s="318"/>
      <c r="M13" s="318"/>
      <c r="N13" s="318"/>
      <c r="O13" s="318"/>
      <c r="P13" s="318"/>
    </row>
    <row r="14" spans="1:16">
      <c r="A14" s="318" t="s">
        <v>358</v>
      </c>
      <c r="B14" s="318"/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</row>
    <row r="15" spans="1:16">
      <c r="A15" s="318" t="s">
        <v>290</v>
      </c>
      <c r="B15" s="318"/>
      <c r="C15" s="318"/>
      <c r="D15" s="318"/>
      <c r="E15" s="318"/>
      <c r="F15" s="318"/>
      <c r="G15" s="318"/>
      <c r="H15" s="318"/>
      <c r="I15" s="318"/>
      <c r="J15" s="318"/>
      <c r="K15" s="318"/>
      <c r="L15" s="318"/>
      <c r="M15" s="318"/>
      <c r="N15" s="318"/>
      <c r="O15" s="318"/>
      <c r="P15" s="318"/>
    </row>
    <row r="17" spans="1:16" ht="15.75" customHeight="1">
      <c r="A17" s="171" t="s">
        <v>5</v>
      </c>
      <c r="B17" s="319" t="s">
        <v>354</v>
      </c>
      <c r="C17" s="319"/>
      <c r="D17" s="319"/>
      <c r="E17" s="319"/>
      <c r="F17" s="319"/>
      <c r="G17" s="319"/>
      <c r="H17" s="319"/>
      <c r="I17" s="319"/>
      <c r="J17" s="319"/>
      <c r="K17" s="319"/>
      <c r="L17" s="319"/>
      <c r="M17" s="319"/>
      <c r="N17" s="319"/>
      <c r="O17" s="319"/>
      <c r="P17" s="319"/>
    </row>
    <row r="18" spans="1:16" ht="37.5" customHeight="1">
      <c r="A18" s="319" t="s">
        <v>6</v>
      </c>
      <c r="B18" s="319" t="s">
        <v>357</v>
      </c>
      <c r="C18" s="319"/>
      <c r="D18" s="319"/>
      <c r="E18" s="319"/>
      <c r="F18" s="319"/>
      <c r="G18" s="319"/>
      <c r="H18" s="319"/>
      <c r="I18" s="319"/>
      <c r="J18" s="319"/>
      <c r="K18" s="319"/>
      <c r="L18" s="319"/>
      <c r="M18" s="319"/>
      <c r="N18" s="319"/>
      <c r="O18" s="319"/>
      <c r="P18" s="319"/>
    </row>
    <row r="19" spans="1:16" ht="30.75" customHeight="1">
      <c r="A19" s="319"/>
      <c r="B19" s="308" t="s">
        <v>356</v>
      </c>
      <c r="C19" s="308"/>
      <c r="D19" s="308"/>
      <c r="E19" s="308"/>
      <c r="F19" s="308"/>
      <c r="G19" s="308"/>
      <c r="H19" s="308"/>
      <c r="I19" s="308"/>
      <c r="J19" s="308"/>
      <c r="K19" s="308"/>
      <c r="L19" s="308"/>
      <c r="M19" s="308"/>
      <c r="N19" s="308"/>
      <c r="O19" s="308"/>
      <c r="P19" s="308"/>
    </row>
    <row r="20" spans="1:16" s="1" customFormat="1" ht="39" customHeight="1">
      <c r="A20" s="319"/>
      <c r="B20" s="308" t="s">
        <v>366</v>
      </c>
      <c r="C20" s="308"/>
      <c r="D20" s="308"/>
      <c r="E20" s="308"/>
      <c r="F20" s="308"/>
      <c r="G20" s="308"/>
      <c r="H20" s="308"/>
      <c r="I20" s="308"/>
      <c r="J20" s="308"/>
      <c r="K20" s="308"/>
      <c r="L20" s="308"/>
      <c r="M20" s="308"/>
      <c r="N20" s="308"/>
      <c r="O20" s="308"/>
      <c r="P20" s="308"/>
    </row>
    <row r="21" spans="1:16" s="1" customFormat="1" ht="42.75" customHeight="1">
      <c r="A21" s="319"/>
      <c r="B21" s="308" t="s">
        <v>355</v>
      </c>
      <c r="C21" s="308"/>
      <c r="D21" s="308"/>
      <c r="E21" s="308"/>
      <c r="F21" s="308"/>
      <c r="G21" s="308"/>
      <c r="H21" s="308"/>
      <c r="I21" s="308"/>
      <c r="J21" s="308"/>
      <c r="K21" s="308"/>
      <c r="L21" s="308"/>
      <c r="M21" s="308"/>
      <c r="N21" s="308"/>
      <c r="O21" s="308"/>
      <c r="P21" s="308"/>
    </row>
    <row r="22" spans="1:16" ht="15.75">
      <c r="A22" s="171" t="s">
        <v>7</v>
      </c>
      <c r="B22" s="309" t="s">
        <v>367</v>
      </c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</row>
    <row r="23" spans="1:16" ht="51.75" customHeight="1">
      <c r="A23" s="171" t="s">
        <v>360</v>
      </c>
      <c r="B23" s="310" t="s">
        <v>359</v>
      </c>
      <c r="C23" s="310"/>
      <c r="D23" s="310"/>
      <c r="E23" s="310"/>
      <c r="F23" s="310"/>
      <c r="G23" s="310"/>
      <c r="H23" s="310"/>
      <c r="I23" s="310"/>
      <c r="J23" s="310"/>
      <c r="K23" s="310"/>
      <c r="L23" s="310"/>
      <c r="M23" s="310"/>
      <c r="N23" s="310"/>
      <c r="O23" s="310"/>
      <c r="P23" s="310"/>
    </row>
    <row r="24" spans="1:16" ht="18.75">
      <c r="A24" s="171" t="s">
        <v>8</v>
      </c>
      <c r="B24" s="303">
        <v>2015</v>
      </c>
      <c r="C24" s="303"/>
      <c r="D24" s="303"/>
      <c r="E24" s="303"/>
      <c r="F24" s="303"/>
      <c r="G24" s="303"/>
      <c r="H24" s="303"/>
      <c r="I24" s="303"/>
      <c r="J24" s="303"/>
      <c r="K24" s="303"/>
      <c r="L24" s="303"/>
      <c r="M24" s="303"/>
      <c r="N24" s="303"/>
      <c r="O24" s="303"/>
      <c r="P24" s="303"/>
    </row>
    <row r="25" spans="1:16" ht="18.75">
      <c r="A25" s="171" t="s">
        <v>9</v>
      </c>
      <c r="B25" s="303">
        <v>2019</v>
      </c>
      <c r="C25" s="303"/>
      <c r="D25" s="303"/>
      <c r="E25" s="303"/>
      <c r="F25" s="303"/>
      <c r="G25" s="303"/>
      <c r="H25" s="303"/>
      <c r="I25" s="303"/>
      <c r="J25" s="303"/>
      <c r="K25" s="303"/>
      <c r="L25" s="303"/>
      <c r="M25" s="303"/>
      <c r="N25" s="303"/>
      <c r="O25" s="303"/>
      <c r="P25" s="303"/>
    </row>
    <row r="26" spans="1:16" s="2" customFormat="1" ht="15.75" customHeight="1">
      <c r="A26" s="309" t="s">
        <v>107</v>
      </c>
      <c r="B26" s="304" t="s">
        <v>108</v>
      </c>
      <c r="C26" s="305" t="s">
        <v>253</v>
      </c>
      <c r="D26" s="305"/>
      <c r="E26" s="305"/>
      <c r="F26" s="305" t="s">
        <v>254</v>
      </c>
      <c r="G26" s="305"/>
      <c r="H26" s="305" t="s">
        <v>131</v>
      </c>
      <c r="I26" s="304" t="s">
        <v>113</v>
      </c>
      <c r="J26" s="304"/>
      <c r="K26" s="304"/>
      <c r="L26" s="304"/>
      <c r="M26" s="304"/>
      <c r="N26" s="304"/>
      <c r="O26" s="304"/>
      <c r="P26" s="304"/>
    </row>
    <row r="27" spans="1:16" ht="151.5" customHeight="1">
      <c r="A27" s="309"/>
      <c r="B27" s="304"/>
      <c r="C27" s="305"/>
      <c r="D27" s="305"/>
      <c r="E27" s="305"/>
      <c r="F27" s="305"/>
      <c r="G27" s="305"/>
      <c r="H27" s="305"/>
      <c r="I27" s="305" t="s">
        <v>68</v>
      </c>
      <c r="J27" s="305"/>
      <c r="K27" s="305"/>
      <c r="L27" s="305" t="s">
        <v>177</v>
      </c>
      <c r="M27" s="305"/>
      <c r="N27" s="307" t="s">
        <v>256</v>
      </c>
      <c r="O27" s="307"/>
      <c r="P27" s="305" t="s">
        <v>11</v>
      </c>
    </row>
    <row r="28" spans="1:16" s="2" customFormat="1" ht="19.5" customHeight="1">
      <c r="A28" s="309"/>
      <c r="B28" s="304"/>
      <c r="C28" s="304" t="s">
        <v>11</v>
      </c>
      <c r="D28" s="305" t="s">
        <v>174</v>
      </c>
      <c r="E28" s="305"/>
      <c r="F28" s="306" t="s">
        <v>11</v>
      </c>
      <c r="G28" s="169" t="s">
        <v>174</v>
      </c>
      <c r="H28" s="305"/>
      <c r="I28" s="305"/>
      <c r="J28" s="305"/>
      <c r="K28" s="305"/>
      <c r="L28" s="305"/>
      <c r="M28" s="305"/>
      <c r="N28" s="307"/>
      <c r="O28" s="307"/>
      <c r="P28" s="305"/>
    </row>
    <row r="29" spans="1:16" s="2" customFormat="1" ht="70.5" customHeight="1">
      <c r="A29" s="309"/>
      <c r="B29" s="304"/>
      <c r="C29" s="304"/>
      <c r="D29" s="169" t="s">
        <v>173</v>
      </c>
      <c r="E29" s="169" t="s">
        <v>172</v>
      </c>
      <c r="F29" s="306"/>
      <c r="G29" s="188" t="s">
        <v>175</v>
      </c>
      <c r="H29" s="170" t="s">
        <v>111</v>
      </c>
      <c r="I29" s="170" t="s">
        <v>368</v>
      </c>
      <c r="J29" s="170" t="s">
        <v>109</v>
      </c>
      <c r="K29" s="170" t="s">
        <v>49</v>
      </c>
      <c r="L29" s="170" t="s">
        <v>176</v>
      </c>
      <c r="M29" s="170" t="s">
        <v>255</v>
      </c>
      <c r="N29" s="188" t="s">
        <v>257</v>
      </c>
      <c r="O29" s="188" t="s">
        <v>369</v>
      </c>
      <c r="P29" s="170" t="s">
        <v>49</v>
      </c>
    </row>
    <row r="30" spans="1:16" s="2" customFormat="1">
      <c r="A30" s="309"/>
      <c r="B30" s="169" t="s">
        <v>130</v>
      </c>
      <c r="C30" s="152"/>
      <c r="D30" s="152"/>
      <c r="E30" s="152"/>
      <c r="F30" s="189">
        <v>12.675528645932204</v>
      </c>
      <c r="G30" s="189">
        <v>12.675528645932204</v>
      </c>
      <c r="H30" s="153">
        <f>G30/(868.74-132.52)</f>
        <v>1.7217039262628294E-2</v>
      </c>
      <c r="I30" s="190">
        <f>'Ф4-Показатели баланса'!E23</f>
        <v>796.173</v>
      </c>
      <c r="J30" s="190">
        <f>'Ф4-Показатели баланса'!E24</f>
        <v>19.329095937183407</v>
      </c>
      <c r="K30" s="190">
        <f>'Ф1-Целевые показатели программ'!E19</f>
        <v>1178.8981381379999</v>
      </c>
      <c r="L30" s="190">
        <f>'Ф1-Целевые показатели программ'!E47</f>
        <v>4.4425989829999999</v>
      </c>
      <c r="M30" s="190">
        <f>'Ф1-Целевые показатели программ'!E46+'Ф1-Целевые показатели программ'!E62</f>
        <v>56.03</v>
      </c>
      <c r="N30" s="190">
        <f>'Ф1-Целевые показатели программ'!E71</f>
        <v>0.89400000000000002</v>
      </c>
      <c r="O30" s="190">
        <f>'Ф1-Целевые показатели программ'!E72</f>
        <v>26.83</v>
      </c>
      <c r="P30" s="190">
        <f>M30+O30+K30</f>
        <v>1261.7581381379998</v>
      </c>
    </row>
    <row r="31" spans="1:16" ht="15" customHeight="1">
      <c r="A31" s="309"/>
      <c r="B31" s="168">
        <v>2014</v>
      </c>
      <c r="C31" s="191"/>
      <c r="D31" s="152"/>
      <c r="E31" s="152"/>
      <c r="F31" s="152"/>
      <c r="G31" s="152">
        <v>35.4</v>
      </c>
      <c r="H31" s="153">
        <f>G31/(2442.32-372.56)</f>
        <v>1.7103432282003707E-2</v>
      </c>
      <c r="I31" s="190">
        <f>'Ф4-Показатели баланса'!F23</f>
        <v>820.06899999999996</v>
      </c>
      <c r="J31" s="190">
        <f>'Ф4-Показатели баланса'!F24</f>
        <v>19.522319513487595</v>
      </c>
      <c r="K31" s="190">
        <f>'Ф1-Целевые показатели программ'!F19</f>
        <v>1289.4379523569999</v>
      </c>
      <c r="L31" s="190">
        <f>'Ф1-Целевые показатели программ'!F47</f>
        <v>1.7067806139999999</v>
      </c>
      <c r="M31" s="190">
        <f>'Ф1-Целевые показатели программ'!F46+'Ф1-Целевые показатели программ'!F62</f>
        <v>33.867525799999996</v>
      </c>
      <c r="N31" s="190">
        <f>'Ф1-Целевые показатели программ'!F71</f>
        <v>1.2397694823559999</v>
      </c>
      <c r="O31" s="190">
        <f>'Ф1-Целевые показатели программ'!F72</f>
        <v>27.320265326800001</v>
      </c>
      <c r="P31" s="190">
        <f t="shared" ref="P31:P35" si="0">M31+O31+K31</f>
        <v>1350.6257434837999</v>
      </c>
    </row>
    <row r="32" spans="1:16" ht="15" customHeight="1">
      <c r="A32" s="309"/>
      <c r="B32" s="168">
        <v>2015</v>
      </c>
      <c r="C32" s="190">
        <f>'Ф2-Перечень меропр с прям зат '!BE130</f>
        <v>11.206653700000002</v>
      </c>
      <c r="D32" s="152"/>
      <c r="E32" s="152"/>
      <c r="F32" s="152"/>
      <c r="G32" s="152">
        <v>41.5</v>
      </c>
      <c r="H32" s="153">
        <f>G32/(2550.88-389.12)</f>
        <v>1.9197320701650505E-2</v>
      </c>
      <c r="I32" s="190">
        <f>'Ф4-Показатели баланса'!G23</f>
        <v>745.56499999999994</v>
      </c>
      <c r="J32" s="190">
        <f>'Ф4-Показатели баланса'!G24</f>
        <v>17.831846973375438</v>
      </c>
      <c r="K32" s="190">
        <f>'Ф1-Целевые показатели программ'!G19</f>
        <v>1190.9152114999999</v>
      </c>
      <c r="L32" s="190">
        <f>'Ф1-Целевые показатели программ'!G47</f>
        <v>1.6948160299999999</v>
      </c>
      <c r="M32" s="190">
        <f>'Ф1-Целевые показатели программ'!G46+'Ф1-Целевые показатели программ'!G62</f>
        <v>38.013410910739992</v>
      </c>
      <c r="N32" s="190">
        <f>'Ф1-Целевые показатели программ'!G71</f>
        <v>1.39506526473996</v>
      </c>
      <c r="O32" s="190">
        <f>'Ф1-Целевые показатели программ'!G72</f>
        <v>30.542105760000005</v>
      </c>
      <c r="P32" s="190">
        <f>M32+O32+K32</f>
        <v>1259.4707281707399</v>
      </c>
    </row>
    <row r="33" spans="1:16" ht="15" customHeight="1">
      <c r="A33" s="309"/>
      <c r="B33" s="168">
        <v>2016</v>
      </c>
      <c r="C33" s="190">
        <f>'Ф2-Перечень меропр с прям зат '!BF130</f>
        <v>11.037092350000002</v>
      </c>
      <c r="D33" s="152"/>
      <c r="E33" s="152"/>
      <c r="F33" s="152"/>
      <c r="G33" s="152">
        <v>44.9</v>
      </c>
      <c r="H33" s="153">
        <f>G33/(2771.09-422.71)</f>
        <v>1.9119563273405495E-2</v>
      </c>
      <c r="I33" s="190">
        <f>'Ф4-Показатели баланса'!H23</f>
        <v>753.05799999999999</v>
      </c>
      <c r="J33" s="190">
        <f>'Ф4-Показатели баланса'!H24</f>
        <v>17.709990087402534</v>
      </c>
      <c r="K33" s="190">
        <f>'Ф1-Целевые показатели программ'!L19</f>
        <v>1330.1875176200001</v>
      </c>
      <c r="L33" s="190">
        <f>'Ф1-Целевые показатели программ'!L47</f>
        <v>1.6863186376399999</v>
      </c>
      <c r="M33" s="190">
        <f>'Ф1-Целевые показатели программ'!L46+'Ф1-Целевые показатели программ'!L62</f>
        <v>42.034954280000008</v>
      </c>
      <c r="N33" s="190">
        <f>'Ф1-Целевые показатели программ'!L71</f>
        <v>1.4020405910636597</v>
      </c>
      <c r="O33" s="190">
        <f>'Ф1-Целевые показатели программ'!L72</f>
        <v>30.694816288799998</v>
      </c>
      <c r="P33" s="190">
        <f>M33+O33+K33</f>
        <v>1402.9172881888001</v>
      </c>
    </row>
    <row r="34" spans="1:16" ht="15" customHeight="1">
      <c r="A34" s="309"/>
      <c r="B34" s="168">
        <v>2017</v>
      </c>
      <c r="C34" s="190">
        <f>'Ф2-Перечень меропр с прям зат '!BG130</f>
        <v>12.820867</v>
      </c>
      <c r="D34" s="152"/>
      <c r="E34" s="152"/>
      <c r="F34" s="152"/>
      <c r="G34" s="152">
        <v>58.1</v>
      </c>
      <c r="H34" s="153">
        <f>G34/(2283.58-348.34)</f>
        <v>3.002211611996445E-2</v>
      </c>
      <c r="I34" s="190">
        <f>'Ф4-Показатели баланса'!I23</f>
        <v>764.41099999999994</v>
      </c>
      <c r="J34" s="190">
        <f>'Ф4-Показатели баланса'!I24</f>
        <v>17.5900019168316</v>
      </c>
      <c r="K34" s="190">
        <f>'Ф1-Целевые показатели программ'!M19</f>
        <v>1483.15</v>
      </c>
      <c r="L34" s="190">
        <f>'Ф1-Целевые показатели программ'!M47</f>
        <v>1.6625357336036002</v>
      </c>
      <c r="M34" s="190">
        <f>'Ф1-Целевые показатели программ'!M46+'Ф1-Целевые показатели программ'!M62</f>
        <v>45.337731360000006</v>
      </c>
      <c r="N34" s="190">
        <f>'Ф1-Целевые показатели программ'!M71</f>
        <v>1.4090507940189776</v>
      </c>
      <c r="O34" s="190">
        <f>'Ф1-Целевые показатели программ'!M72</f>
        <v>30.848290370243994</v>
      </c>
      <c r="P34" s="190">
        <f>M34+O34+K34</f>
        <v>1559.3360217302441</v>
      </c>
    </row>
    <row r="35" spans="1:16" ht="15" customHeight="1">
      <c r="A35" s="309"/>
      <c r="B35" s="168">
        <v>2018</v>
      </c>
      <c r="C35" s="190">
        <f>'Ф2-Перечень меропр с прям зат '!BH130</f>
        <v>15.58076865</v>
      </c>
      <c r="D35" s="152"/>
      <c r="E35" s="152"/>
      <c r="F35" s="152"/>
      <c r="G35" s="152">
        <v>58.3</v>
      </c>
      <c r="H35" s="153">
        <f>G35/(2188.47-333.83)</f>
        <v>3.1434671957900187E-2</v>
      </c>
      <c r="I35" s="190">
        <f>'Ф4-Показатели баланса'!J23</f>
        <v>764.01400000000001</v>
      </c>
      <c r="J35" s="190">
        <f>'Ф4-Показатели баланса'!J24</f>
        <v>17.270005714368384</v>
      </c>
      <c r="K35" s="190">
        <f>'Ф1-Целевые показатели программ'!N19</f>
        <v>1623.2084933199999</v>
      </c>
      <c r="L35" s="190">
        <f>'Ф1-Целевые показатели программ'!N47</f>
        <v>1.637562658607564</v>
      </c>
      <c r="M35" s="190">
        <f>'Ф1-Целевые показатели программ'!N46+'Ф1-Целевые показатели программ'!N62</f>
        <v>48.309339707999996</v>
      </c>
      <c r="N35" s="190">
        <f>'Ф1-Целевые показатели программ'!N71</f>
        <v>1.4160960479890725</v>
      </c>
      <c r="O35" s="190">
        <f>'Ф1-Целевые показатели программ'!N72</f>
        <v>31.002531822095214</v>
      </c>
      <c r="P35" s="190">
        <f t="shared" si="0"/>
        <v>1702.5203648500951</v>
      </c>
    </row>
    <row r="36" spans="1:16" s="20" customFormat="1" ht="15" customHeight="1">
      <c r="A36" s="309"/>
      <c r="B36" s="168">
        <v>2019</v>
      </c>
      <c r="C36" s="190">
        <f>'Ф2-Перечень меропр с прям зат '!BI130</f>
        <v>15.461519299999999</v>
      </c>
      <c r="D36" s="152"/>
      <c r="E36" s="152"/>
      <c r="F36" s="152"/>
      <c r="G36" s="152">
        <v>60.8</v>
      </c>
      <c r="H36" s="153"/>
      <c r="I36" s="190">
        <f>'Ф4-Показатели баланса'!K23</f>
        <v>771.60299999999995</v>
      </c>
      <c r="J36" s="190">
        <f>'Ф4-Показатели баланса'!K24</f>
        <v>17.149999455451848</v>
      </c>
      <c r="K36" s="190">
        <f>'Ф1-Целевые показатели программ'!O19</f>
        <v>1795.067</v>
      </c>
      <c r="L36" s="190">
        <f>'Ф1-Целевые показатели программ'!O47</f>
        <v>1.6137993143614882</v>
      </c>
      <c r="M36" s="190">
        <f>'Ф1-Целевые показатели программ'!O46+'Ф1-Целевые показатели программ'!O62</f>
        <v>51.455729268000006</v>
      </c>
      <c r="N36" s="190">
        <f>'Ф1-Целевые показатели программ'!O71</f>
        <v>1.4231765282290179</v>
      </c>
      <c r="O36" s="190">
        <f>'Ф1-Целевые показатели программ'!O72</f>
        <v>31.15754448120569</v>
      </c>
      <c r="P36" s="190">
        <f>M36+O36+K36</f>
        <v>1877.6802737492058</v>
      </c>
    </row>
    <row r="37" spans="1:16" ht="27.75" customHeight="1">
      <c r="A37" s="309"/>
      <c r="B37" s="169" t="s">
        <v>296</v>
      </c>
      <c r="C37" s="190">
        <f>'Ф2-Перечень меропр с прям зат '!BD130</f>
        <v>66.106901000000008</v>
      </c>
      <c r="D37" s="175"/>
      <c r="E37" s="175"/>
      <c r="F37" s="175"/>
      <c r="G37" s="175">
        <f>SUM(G32:G36)</f>
        <v>263.60000000000002</v>
      </c>
      <c r="H37" s="154"/>
      <c r="I37" s="190">
        <f>SUM(I32:I36)</f>
        <v>3798.6510000000003</v>
      </c>
      <c r="J37" s="155"/>
      <c r="K37" s="190">
        <f>SUM(K32:K36)</f>
        <v>7422.5282224399998</v>
      </c>
      <c r="L37" s="190">
        <f>SUM(L32:L36)</f>
        <v>8.2950323742126528</v>
      </c>
      <c r="M37" s="190">
        <f>SUM(M32:M36)</f>
        <v>225.15116552674002</v>
      </c>
      <c r="N37" s="190">
        <f>SUM(N32:N36)</f>
        <v>7.0454292260406879</v>
      </c>
      <c r="O37" s="190">
        <f>SUM(O32:O36)</f>
        <v>154.2452887223449</v>
      </c>
      <c r="P37" s="190">
        <f>M37+O37+K37</f>
        <v>7801.9246766890847</v>
      </c>
    </row>
    <row r="38" spans="1:16" ht="18" customHeight="1"/>
    <row r="39" spans="1:16" s="5" customFormat="1" ht="15.75">
      <c r="A39" s="3" t="s">
        <v>110</v>
      </c>
      <c r="B39" s="4"/>
      <c r="D39" s="21"/>
      <c r="E39" s="21"/>
      <c r="F39" s="21"/>
      <c r="G39" s="21"/>
      <c r="H39" s="21"/>
    </row>
    <row r="40" spans="1:16" s="5" customFormat="1" ht="15.75">
      <c r="A40" s="3"/>
      <c r="B40" s="4"/>
      <c r="D40" s="21"/>
    </row>
    <row r="41" spans="1:16" s="5" customFormat="1" ht="41.25" customHeight="1">
      <c r="A41" s="298" t="s">
        <v>351</v>
      </c>
      <c r="B41" s="298"/>
      <c r="C41" s="298"/>
      <c r="D41" s="21"/>
      <c r="E41" s="11"/>
      <c r="H41" s="298"/>
      <c r="I41" s="298"/>
      <c r="J41" s="298"/>
      <c r="K41" s="302" t="s">
        <v>362</v>
      </c>
      <c r="L41" s="302"/>
      <c r="M41" s="9"/>
      <c r="N41" s="9"/>
      <c r="O41" s="9"/>
    </row>
    <row r="42" spans="1:16" s="5" customFormat="1">
      <c r="A42" s="301" t="s">
        <v>0</v>
      </c>
      <c r="B42" s="301"/>
      <c r="C42" s="301"/>
      <c r="D42" s="21"/>
      <c r="E42" s="12"/>
      <c r="I42" s="157" t="s">
        <v>1</v>
      </c>
      <c r="J42" s="6"/>
      <c r="K42" s="6"/>
    </row>
    <row r="43" spans="1:16" s="5" customFormat="1" ht="15.75" customHeight="1">
      <c r="B43" s="4"/>
      <c r="D43" s="21"/>
      <c r="H43" s="300" t="s">
        <v>353</v>
      </c>
      <c r="I43" s="300"/>
      <c r="J43" s="300"/>
      <c r="K43" s="300"/>
      <c r="L43" s="300"/>
      <c r="M43" s="13"/>
      <c r="N43" s="14"/>
      <c r="O43" s="14"/>
    </row>
    <row r="44" spans="1:16" s="5" customFormat="1">
      <c r="B44" s="6"/>
      <c r="D44" s="21"/>
    </row>
    <row r="45" spans="1:16" s="5" customFormat="1" ht="41.25" customHeight="1">
      <c r="A45" s="298" t="s">
        <v>361</v>
      </c>
      <c r="B45" s="298"/>
      <c r="C45" s="298"/>
      <c r="D45" s="11"/>
      <c r="E45" s="11"/>
      <c r="H45" s="298"/>
      <c r="I45" s="298"/>
      <c r="J45" s="298"/>
      <c r="K45" s="302" t="s">
        <v>363</v>
      </c>
      <c r="L45" s="302"/>
      <c r="M45" s="9"/>
      <c r="N45" s="9"/>
      <c r="O45" s="9"/>
    </row>
    <row r="46" spans="1:16" s="5" customFormat="1">
      <c r="A46" s="299" t="s">
        <v>0</v>
      </c>
      <c r="B46" s="299"/>
      <c r="C46" s="299"/>
      <c r="D46" s="12"/>
      <c r="E46" s="12"/>
      <c r="I46" s="157" t="s">
        <v>1</v>
      </c>
      <c r="J46" s="6"/>
      <c r="K46" s="6"/>
    </row>
    <row r="47" spans="1:16" s="5" customFormat="1" ht="15.75" customHeight="1">
      <c r="A47" s="7"/>
      <c r="B47" s="4"/>
      <c r="H47" s="300" t="s">
        <v>353</v>
      </c>
      <c r="I47" s="300"/>
      <c r="J47" s="300"/>
      <c r="K47" s="300"/>
      <c r="L47" s="300"/>
      <c r="M47" s="13"/>
      <c r="N47" s="14"/>
      <c r="O47" s="14"/>
    </row>
    <row r="48" spans="1:16" s="5" customFormat="1">
      <c r="A48" s="8"/>
      <c r="B48" s="6"/>
    </row>
    <row r="49" spans="1:15" s="5" customFormat="1" ht="41.25" customHeight="1">
      <c r="A49" s="298" t="s">
        <v>364</v>
      </c>
      <c r="B49" s="298"/>
      <c r="C49" s="298"/>
      <c r="D49" s="11"/>
      <c r="E49" s="11"/>
      <c r="H49" s="298"/>
      <c r="I49" s="298"/>
      <c r="J49" s="298"/>
      <c r="K49" s="302" t="s">
        <v>365</v>
      </c>
      <c r="L49" s="302"/>
      <c r="M49" s="9"/>
      <c r="N49" s="9"/>
      <c r="O49" s="9"/>
    </row>
    <row r="50" spans="1:15" s="5" customFormat="1" ht="14.25" customHeight="1">
      <c r="A50" s="147"/>
      <c r="B50" s="147"/>
      <c r="C50" s="147"/>
      <c r="D50" s="147"/>
      <c r="E50" s="147"/>
      <c r="H50" s="147"/>
      <c r="I50" s="159" t="s">
        <v>1</v>
      </c>
      <c r="J50" s="147"/>
      <c r="K50" s="158"/>
      <c r="L50" s="158"/>
      <c r="M50" s="9"/>
      <c r="N50" s="9"/>
      <c r="O50" s="9"/>
    </row>
    <row r="51" spans="1:15" s="5" customFormat="1" ht="15.75">
      <c r="A51" s="299" t="s">
        <v>0</v>
      </c>
      <c r="B51" s="299"/>
      <c r="C51" s="299"/>
      <c r="D51" s="12"/>
      <c r="E51" s="12"/>
      <c r="H51" s="300" t="s">
        <v>353</v>
      </c>
      <c r="I51" s="300"/>
      <c r="J51" s="300"/>
      <c r="K51" s="300"/>
      <c r="L51" s="300"/>
    </row>
    <row r="52" spans="1:15" s="5" customFormat="1" ht="15.75">
      <c r="A52" s="9"/>
      <c r="B52" s="10"/>
      <c r="H52" s="300"/>
      <c r="I52" s="300"/>
      <c r="J52" s="300"/>
      <c r="K52" s="300"/>
      <c r="L52" s="300"/>
      <c r="M52" s="13"/>
      <c r="N52" s="14"/>
      <c r="O52" s="14"/>
    </row>
  </sheetData>
  <sheetProtection insertRows="0"/>
  <mergeCells count="55">
    <mergeCell ref="H7:P7"/>
    <mergeCell ref="A10:P10"/>
    <mergeCell ref="C26:E27"/>
    <mergeCell ref="H26:H28"/>
    <mergeCell ref="I27:K28"/>
    <mergeCell ref="P27:P28"/>
    <mergeCell ref="L27:M28"/>
    <mergeCell ref="A12:P12"/>
    <mergeCell ref="A13:P13"/>
    <mergeCell ref="A14:P14"/>
    <mergeCell ref="A15:P15"/>
    <mergeCell ref="A18:A21"/>
    <mergeCell ref="A26:A37"/>
    <mergeCell ref="B17:P17"/>
    <mergeCell ref="B18:P18"/>
    <mergeCell ref="B19:P19"/>
    <mergeCell ref="A5:B5"/>
    <mergeCell ref="M5:P5"/>
    <mergeCell ref="A6:B6"/>
    <mergeCell ref="M6:P6"/>
    <mergeCell ref="A2:B2"/>
    <mergeCell ref="M2:P2"/>
    <mergeCell ref="A3:B3"/>
    <mergeCell ref="M3:P3"/>
    <mergeCell ref="A4:B4"/>
    <mergeCell ref="M4:P4"/>
    <mergeCell ref="B21:P21"/>
    <mergeCell ref="B20:P20"/>
    <mergeCell ref="B22:P22"/>
    <mergeCell ref="B23:P23"/>
    <mergeCell ref="B24:P24"/>
    <mergeCell ref="B25:P25"/>
    <mergeCell ref="I26:P26"/>
    <mergeCell ref="B26:B29"/>
    <mergeCell ref="H47:L47"/>
    <mergeCell ref="D28:E28"/>
    <mergeCell ref="F26:G27"/>
    <mergeCell ref="F28:F29"/>
    <mergeCell ref="C28:C29"/>
    <mergeCell ref="N27:O28"/>
    <mergeCell ref="H41:J41"/>
    <mergeCell ref="K41:L41"/>
    <mergeCell ref="H45:J45"/>
    <mergeCell ref="K45:L45"/>
    <mergeCell ref="A49:C49"/>
    <mergeCell ref="A51:C51"/>
    <mergeCell ref="H52:L52"/>
    <mergeCell ref="A41:C41"/>
    <mergeCell ref="A42:C42"/>
    <mergeCell ref="H43:L43"/>
    <mergeCell ref="A45:C45"/>
    <mergeCell ref="A46:C46"/>
    <mergeCell ref="H49:J49"/>
    <mergeCell ref="K49:L49"/>
    <mergeCell ref="H51:L51"/>
  </mergeCells>
  <pageMargins left="0.19685039370078741" right="0.70866141732283472" top="0" bottom="0" header="0.31496062992125984" footer="0.31496062992125984"/>
  <pageSetup paperSize="8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2:AI106"/>
  <sheetViews>
    <sheetView showZeros="0" view="pageBreakPreview" zoomScale="80" zoomScaleSheetLayoutView="80" workbookViewId="0">
      <pane xSplit="3" ySplit="6" topLeftCell="D7" activePane="bottomRight" state="frozenSplit"/>
      <selection pane="topRight" activeCell="C1" sqref="C1"/>
      <selection pane="bottomLeft"/>
      <selection pane="bottomRight" activeCell="D7" sqref="D7"/>
    </sheetView>
  </sheetViews>
  <sheetFormatPr defaultRowHeight="18.75" outlineLevelCol="1"/>
  <cols>
    <col min="1" max="1" width="6.42578125" style="47" customWidth="1"/>
    <col min="2" max="2" width="34.7109375" style="47" customWidth="1"/>
    <col min="3" max="3" width="23.5703125" style="47" customWidth="1"/>
    <col min="4" max="4" width="15.42578125" style="47" customWidth="1"/>
    <col min="5" max="5" width="20.5703125" style="47" customWidth="1"/>
    <col min="6" max="6" width="15.7109375" style="47" customWidth="1"/>
    <col min="7" max="7" width="15" style="47" customWidth="1"/>
    <col min="8" max="8" width="15.5703125" style="47" customWidth="1" outlineLevel="1"/>
    <col min="9" max="9" width="15.140625" style="47" customWidth="1" outlineLevel="1"/>
    <col min="10" max="10" width="13.5703125" style="47" customWidth="1" outlineLevel="1"/>
    <col min="11" max="11" width="16.7109375" style="47" customWidth="1" outlineLevel="1"/>
    <col min="12" max="12" width="14.28515625" style="47" bestFit="1" customWidth="1"/>
    <col min="13" max="14" width="13.140625" style="47" bestFit="1" customWidth="1"/>
    <col min="15" max="15" width="13.28515625" style="47" customWidth="1"/>
    <col min="16" max="20" width="9.140625" style="47" hidden="1" customWidth="1"/>
    <col min="21" max="21" width="13.85546875" style="47" hidden="1" customWidth="1"/>
    <col min="22" max="22" width="12" style="47" hidden="1" customWidth="1"/>
    <col min="23" max="23" width="14.7109375" style="47" hidden="1" customWidth="1"/>
    <col min="24" max="24" width="13" style="47" hidden="1" customWidth="1"/>
    <col min="25" max="25" width="11.7109375" style="47" hidden="1" customWidth="1"/>
    <col min="26" max="30" width="0" style="47" hidden="1" customWidth="1"/>
    <col min="31" max="16384" width="9.140625" style="47"/>
  </cols>
  <sheetData>
    <row r="2" spans="1:30">
      <c r="A2" s="47" t="s">
        <v>252</v>
      </c>
      <c r="I2" s="215">
        <v>86178</v>
      </c>
      <c r="K2" s="216"/>
    </row>
    <row r="3" spans="1:30" ht="19.5" thickBot="1"/>
    <row r="4" spans="1:30" ht="29.25" customHeight="1">
      <c r="A4" s="333" t="s">
        <v>22</v>
      </c>
      <c r="B4" s="327" t="s">
        <v>61</v>
      </c>
      <c r="C4" s="327" t="s">
        <v>23</v>
      </c>
      <c r="D4" s="335" t="s">
        <v>249</v>
      </c>
      <c r="E4" s="327">
        <v>2013</v>
      </c>
      <c r="F4" s="327">
        <v>2014</v>
      </c>
      <c r="G4" s="325" t="s">
        <v>79</v>
      </c>
      <c r="H4" s="326"/>
      <c r="I4" s="326"/>
      <c r="J4" s="326"/>
      <c r="K4" s="326"/>
      <c r="L4" s="326"/>
      <c r="M4" s="326"/>
      <c r="N4" s="326"/>
      <c r="O4" s="326"/>
      <c r="P4" s="331" t="s">
        <v>80</v>
      </c>
      <c r="Q4" s="331"/>
      <c r="R4" s="331"/>
      <c r="S4" s="331"/>
      <c r="T4" s="331"/>
      <c r="U4" s="321" t="s">
        <v>59</v>
      </c>
      <c r="V4" s="322"/>
      <c r="W4" s="322"/>
      <c r="X4" s="322"/>
      <c r="Y4" s="322"/>
      <c r="Z4" s="321" t="s">
        <v>60</v>
      </c>
      <c r="AA4" s="322"/>
      <c r="AB4" s="322"/>
      <c r="AC4" s="322"/>
      <c r="AD4" s="322"/>
    </row>
    <row r="5" spans="1:30" ht="19.5" thickBot="1">
      <c r="A5" s="334"/>
      <c r="B5" s="328"/>
      <c r="C5" s="328"/>
      <c r="D5" s="336"/>
      <c r="E5" s="328"/>
      <c r="F5" s="328"/>
      <c r="G5" s="217">
        <v>2015</v>
      </c>
      <c r="H5" s="218" t="s">
        <v>291</v>
      </c>
      <c r="I5" s="218" t="s">
        <v>292</v>
      </c>
      <c r="J5" s="218" t="s">
        <v>293</v>
      </c>
      <c r="K5" s="218" t="s">
        <v>294</v>
      </c>
      <c r="L5" s="217">
        <v>2016</v>
      </c>
      <c r="M5" s="217">
        <v>2017</v>
      </c>
      <c r="N5" s="217">
        <v>2018</v>
      </c>
      <c r="O5" s="217">
        <v>2019</v>
      </c>
      <c r="P5" s="217">
        <v>2015</v>
      </c>
      <c r="Q5" s="217">
        <v>2016</v>
      </c>
      <c r="R5" s="217">
        <v>2017</v>
      </c>
      <c r="S5" s="217">
        <v>2018</v>
      </c>
      <c r="T5" s="217">
        <v>2019</v>
      </c>
      <c r="U5" s="217">
        <v>2015</v>
      </c>
      <c r="V5" s="217">
        <v>2016</v>
      </c>
      <c r="W5" s="217">
        <v>2017</v>
      </c>
      <c r="X5" s="217">
        <v>2018</v>
      </c>
      <c r="Y5" s="217">
        <v>2019</v>
      </c>
      <c r="Z5" s="217">
        <v>2015</v>
      </c>
      <c r="AA5" s="217">
        <v>2016</v>
      </c>
      <c r="AB5" s="217">
        <v>2017</v>
      </c>
      <c r="AC5" s="217">
        <v>2018</v>
      </c>
      <c r="AD5" s="217">
        <v>2019</v>
      </c>
    </row>
    <row r="6" spans="1:30" ht="19.5" thickBot="1">
      <c r="A6" s="219">
        <v>1</v>
      </c>
      <c r="B6" s="220">
        <v>2</v>
      </c>
      <c r="C6" s="220">
        <v>3</v>
      </c>
      <c r="D6" s="220">
        <v>4</v>
      </c>
      <c r="E6" s="220">
        <v>5</v>
      </c>
      <c r="F6" s="220">
        <v>6</v>
      </c>
      <c r="G6" s="220">
        <v>7</v>
      </c>
      <c r="H6" s="220">
        <v>8</v>
      </c>
      <c r="I6" s="220">
        <v>9</v>
      </c>
      <c r="J6" s="220">
        <v>10</v>
      </c>
      <c r="K6" s="220">
        <v>11</v>
      </c>
      <c r="L6" s="220">
        <v>12</v>
      </c>
      <c r="M6" s="220">
        <v>13</v>
      </c>
      <c r="N6" s="220">
        <v>14</v>
      </c>
      <c r="O6" s="220">
        <v>15</v>
      </c>
      <c r="P6" s="220">
        <v>16</v>
      </c>
      <c r="Q6" s="220">
        <v>17</v>
      </c>
      <c r="R6" s="220">
        <v>18</v>
      </c>
      <c r="S6" s="220">
        <v>19</v>
      </c>
      <c r="T6" s="220">
        <v>20</v>
      </c>
      <c r="U6" s="220">
        <v>21</v>
      </c>
      <c r="V6" s="220">
        <v>22</v>
      </c>
      <c r="W6" s="220">
        <v>23</v>
      </c>
      <c r="X6" s="220">
        <v>24</v>
      </c>
      <c r="Y6" s="220">
        <v>25</v>
      </c>
      <c r="Z6" s="220">
        <v>26</v>
      </c>
      <c r="AA6" s="220">
        <v>27</v>
      </c>
      <c r="AB6" s="220">
        <v>28</v>
      </c>
      <c r="AC6" s="220">
        <v>29</v>
      </c>
      <c r="AD6" s="221">
        <v>30</v>
      </c>
    </row>
    <row r="7" spans="1:30" ht="76.5" customHeight="1">
      <c r="A7" s="177">
        <v>1</v>
      </c>
      <c r="B7" s="174" t="s">
        <v>67</v>
      </c>
      <c r="C7" s="177" t="s">
        <v>378</v>
      </c>
      <c r="D7" s="177"/>
      <c r="E7" s="177">
        <v>4119.0389999999998</v>
      </c>
      <c r="F7" s="125">
        <f>4112.765+87.909</f>
        <v>4200.674</v>
      </c>
      <c r="G7" s="222">
        <f>H7+I7+J7+K7</f>
        <v>4181.0868</v>
      </c>
      <c r="H7" s="223">
        <v>1251.5415</v>
      </c>
      <c r="I7" s="223">
        <v>902.49369999999999</v>
      </c>
      <c r="J7" s="223">
        <v>819.64779999999996</v>
      </c>
      <c r="K7" s="223">
        <v>1207.4038</v>
      </c>
      <c r="L7" s="223">
        <v>4252.165</v>
      </c>
      <c r="M7" s="223">
        <v>4345.7129999999997</v>
      </c>
      <c r="N7" s="223">
        <v>4423.9359999999997</v>
      </c>
      <c r="O7" s="223">
        <v>4499.143</v>
      </c>
      <c r="P7" s="177"/>
      <c r="Q7" s="177"/>
      <c r="R7" s="177"/>
      <c r="S7" s="177"/>
      <c r="T7" s="177"/>
      <c r="U7" s="224">
        <f>G7-P7</f>
        <v>4181.0868</v>
      </c>
      <c r="V7" s="224">
        <f>L7-Q7</f>
        <v>4252.165</v>
      </c>
      <c r="W7" s="224">
        <f t="shared" ref="W7:X7" si="0">M7-R7</f>
        <v>4345.7129999999997</v>
      </c>
      <c r="X7" s="224">
        <f t="shared" si="0"/>
        <v>4423.9359999999997</v>
      </c>
      <c r="Y7" s="224">
        <f>O7-T7</f>
        <v>4499.143</v>
      </c>
      <c r="Z7" s="225">
        <f>IF(U7&gt;0,U7/G7*100,"")</f>
        <v>100</v>
      </c>
      <c r="AA7" s="225">
        <f>IF(V7&gt;0,V7/L7*100,"")</f>
        <v>100</v>
      </c>
      <c r="AB7" s="225">
        <f>IF(W7&gt;0,W7/M7*100,"")</f>
        <v>100</v>
      </c>
      <c r="AC7" s="225">
        <f>IF(X7&gt;0,X7/N7*100,"")</f>
        <v>100</v>
      </c>
      <c r="AD7" s="225">
        <f t="shared" ref="AD7" si="1">IF(Y7&gt;0,Y7/O7*100,"")</f>
        <v>100</v>
      </c>
    </row>
    <row r="8" spans="1:30">
      <c r="A8" s="173" t="s">
        <v>39</v>
      </c>
      <c r="B8" s="173" t="s">
        <v>63</v>
      </c>
      <c r="C8" s="177" t="s">
        <v>378</v>
      </c>
      <c r="D8" s="173"/>
      <c r="E8" s="173">
        <v>3778.1019999999999</v>
      </c>
      <c r="F8" s="125">
        <f>3772.589+87.909</f>
        <v>3860.498</v>
      </c>
      <c r="G8" s="222">
        <f>H8+I8+J8+K8</f>
        <v>3848.9120000000003</v>
      </c>
      <c r="H8" s="125">
        <v>1143.971</v>
      </c>
      <c r="I8" s="125">
        <v>830.18100000000004</v>
      </c>
      <c r="J8" s="125">
        <v>764.19899999999996</v>
      </c>
      <c r="K8" s="125">
        <v>1110.5609999999999</v>
      </c>
      <c r="L8" s="125">
        <f>ROUND(L7*($G$8/$G$7),3)</f>
        <v>3914.3429999999998</v>
      </c>
      <c r="M8" s="125">
        <f t="shared" ref="M8:O8" si="2">ROUND(M7*($G$8/$G$7),3)</f>
        <v>4000.4589999999998</v>
      </c>
      <c r="N8" s="125">
        <f t="shared" si="2"/>
        <v>4072.4679999999998</v>
      </c>
      <c r="O8" s="125">
        <f t="shared" si="2"/>
        <v>4141.7</v>
      </c>
      <c r="P8" s="173"/>
      <c r="Q8" s="173"/>
      <c r="R8" s="173"/>
      <c r="S8" s="173"/>
      <c r="T8" s="173"/>
      <c r="U8" s="224">
        <f t="shared" ref="U8:U71" si="3">G8-P8</f>
        <v>3848.9120000000003</v>
      </c>
      <c r="V8" s="224">
        <f t="shared" ref="V8:V71" si="4">L8-Q8</f>
        <v>3914.3429999999998</v>
      </c>
      <c r="W8" s="224">
        <f t="shared" ref="W8:W71" si="5">M8-R8</f>
        <v>4000.4589999999998</v>
      </c>
      <c r="X8" s="224">
        <f t="shared" ref="X8:X71" si="6">N8-S8</f>
        <v>4072.4679999999998</v>
      </c>
      <c r="Y8" s="224">
        <f t="shared" ref="Y8:Y71" si="7">O8-T8</f>
        <v>4141.7</v>
      </c>
      <c r="Z8" s="225">
        <f t="shared" ref="Z8:Z71" si="8">IF(U8&gt;0,U8/G8*100,"")</f>
        <v>100</v>
      </c>
      <c r="AA8" s="225">
        <f t="shared" ref="AA8:AA71" si="9">IF(V8&gt;0,V8/L8*100,"")</f>
        <v>100</v>
      </c>
      <c r="AB8" s="225">
        <f t="shared" ref="AB8:AB71" si="10">IF(W8&gt;0,W8/M8*100,"")</f>
        <v>100</v>
      </c>
      <c r="AC8" s="225">
        <f t="shared" ref="AC8:AC71" si="11">IF(X8&gt;0,X8/N8*100,"")</f>
        <v>100</v>
      </c>
      <c r="AD8" s="225">
        <f t="shared" ref="AD8:AD71" si="12">IF(Y8&gt;0,Y8/O8*100,"")</f>
        <v>100</v>
      </c>
    </row>
    <row r="9" spans="1:30">
      <c r="A9" s="173" t="s">
        <v>40</v>
      </c>
      <c r="B9" s="173" t="s">
        <v>64</v>
      </c>
      <c r="C9" s="177" t="s">
        <v>378</v>
      </c>
      <c r="D9" s="173"/>
      <c r="E9" s="173"/>
      <c r="F9" s="125"/>
      <c r="G9" s="226">
        <f t="shared" ref="G9:G17" si="13">SUM(H9:K9)</f>
        <v>0</v>
      </c>
      <c r="H9" s="125"/>
      <c r="I9" s="125"/>
      <c r="J9" s="125"/>
      <c r="K9" s="125"/>
      <c r="L9" s="125"/>
      <c r="M9" s="125"/>
      <c r="N9" s="125"/>
      <c r="O9" s="125"/>
      <c r="P9" s="173"/>
      <c r="Q9" s="173"/>
      <c r="R9" s="173"/>
      <c r="S9" s="173"/>
      <c r="T9" s="173"/>
      <c r="U9" s="224">
        <f t="shared" si="3"/>
        <v>0</v>
      </c>
      <c r="V9" s="224">
        <f t="shared" si="4"/>
        <v>0</v>
      </c>
      <c r="W9" s="224">
        <f t="shared" si="5"/>
        <v>0</v>
      </c>
      <c r="X9" s="224">
        <f t="shared" si="6"/>
        <v>0</v>
      </c>
      <c r="Y9" s="224">
        <f t="shared" si="7"/>
        <v>0</v>
      </c>
      <c r="Z9" s="225" t="str">
        <f t="shared" si="8"/>
        <v/>
      </c>
      <c r="AA9" s="225" t="str">
        <f t="shared" si="9"/>
        <v/>
      </c>
      <c r="AB9" s="225" t="str">
        <f t="shared" si="10"/>
        <v/>
      </c>
      <c r="AC9" s="225" t="str">
        <f t="shared" si="11"/>
        <v/>
      </c>
      <c r="AD9" s="225" t="str">
        <f t="shared" si="12"/>
        <v/>
      </c>
    </row>
    <row r="10" spans="1:30">
      <c r="A10" s="173" t="s">
        <v>41</v>
      </c>
      <c r="B10" s="173" t="s">
        <v>65</v>
      </c>
      <c r="C10" s="177" t="s">
        <v>378</v>
      </c>
      <c r="D10" s="173"/>
      <c r="E10" s="173">
        <v>3556.32</v>
      </c>
      <c r="F10" s="125">
        <v>3477.7249999999999</v>
      </c>
      <c r="G10" s="222">
        <f t="shared" ref="G10:G11" si="14">H10+I10+J10+K10</f>
        <v>3455.2840000000001</v>
      </c>
      <c r="H10" s="125">
        <v>1030.221</v>
      </c>
      <c r="I10" s="125">
        <v>739.678</v>
      </c>
      <c r="J10" s="125">
        <v>677.73099999999999</v>
      </c>
      <c r="K10" s="125">
        <v>1007.654</v>
      </c>
      <c r="L10" s="125">
        <f>ROUND(L7*($G$10/$G$7),3)</f>
        <v>3514.0239999999999</v>
      </c>
      <c r="M10" s="125">
        <f t="shared" ref="M10:O10" si="15">ROUND(M7*($G$10/$G$7),3)</f>
        <v>3591.3319999999999</v>
      </c>
      <c r="N10" s="125">
        <f t="shared" si="15"/>
        <v>3655.9769999999999</v>
      </c>
      <c r="O10" s="125">
        <f t="shared" si="15"/>
        <v>3718.1280000000002</v>
      </c>
      <c r="P10" s="173"/>
      <c r="Q10" s="173"/>
      <c r="R10" s="173"/>
      <c r="S10" s="173"/>
      <c r="T10" s="173"/>
      <c r="U10" s="224">
        <f t="shared" si="3"/>
        <v>3455.2840000000001</v>
      </c>
      <c r="V10" s="224">
        <f t="shared" si="4"/>
        <v>3514.0239999999999</v>
      </c>
      <c r="W10" s="224">
        <f t="shared" si="5"/>
        <v>3591.3319999999999</v>
      </c>
      <c r="X10" s="224">
        <f t="shared" si="6"/>
        <v>3655.9769999999999</v>
      </c>
      <c r="Y10" s="224">
        <f t="shared" si="7"/>
        <v>3718.1280000000002</v>
      </c>
      <c r="Z10" s="225">
        <f t="shared" si="8"/>
        <v>100</v>
      </c>
      <c r="AA10" s="225">
        <f t="shared" si="9"/>
        <v>100</v>
      </c>
      <c r="AB10" s="225">
        <f t="shared" si="10"/>
        <v>100</v>
      </c>
      <c r="AC10" s="225">
        <f t="shared" si="11"/>
        <v>100</v>
      </c>
      <c r="AD10" s="225">
        <f t="shared" si="12"/>
        <v>100</v>
      </c>
    </row>
    <row r="11" spans="1:30">
      <c r="A11" s="173" t="s">
        <v>42</v>
      </c>
      <c r="B11" s="173" t="s">
        <v>66</v>
      </c>
      <c r="C11" s="177" t="s">
        <v>378</v>
      </c>
      <c r="D11" s="173"/>
      <c r="E11" s="173">
        <v>1979.962</v>
      </c>
      <c r="F11" s="125">
        <v>1931.655</v>
      </c>
      <c r="G11" s="222">
        <f t="shared" si="14"/>
        <v>1907.6770000000001</v>
      </c>
      <c r="H11" s="125">
        <v>569.89300000000003</v>
      </c>
      <c r="I11" s="125">
        <v>403.09500000000003</v>
      </c>
      <c r="J11" s="125">
        <v>365.47500000000002</v>
      </c>
      <c r="K11" s="125">
        <v>569.21400000000006</v>
      </c>
      <c r="L11" s="125">
        <f>ROUND(L7*($G$11/$G$7),3)</f>
        <v>1940.107</v>
      </c>
      <c r="M11" s="125">
        <f t="shared" ref="M11:O11" si="16">ROUND(M7*($G$11/$G$7),3)</f>
        <v>1982.79</v>
      </c>
      <c r="N11" s="125">
        <f t="shared" si="16"/>
        <v>2018.48</v>
      </c>
      <c r="O11" s="125">
        <f t="shared" si="16"/>
        <v>2052.7939999999999</v>
      </c>
      <c r="P11" s="173"/>
      <c r="Q11" s="173"/>
      <c r="R11" s="173"/>
      <c r="S11" s="173"/>
      <c r="T11" s="173"/>
      <c r="U11" s="224">
        <f t="shared" si="3"/>
        <v>1907.6770000000001</v>
      </c>
      <c r="V11" s="224">
        <f t="shared" si="4"/>
        <v>1940.107</v>
      </c>
      <c r="W11" s="224">
        <f t="shared" si="5"/>
        <v>1982.79</v>
      </c>
      <c r="X11" s="224">
        <f t="shared" si="6"/>
        <v>2018.48</v>
      </c>
      <c r="Y11" s="224">
        <f t="shared" si="7"/>
        <v>2052.7939999999999</v>
      </c>
      <c r="Z11" s="225">
        <f t="shared" si="8"/>
        <v>100</v>
      </c>
      <c r="AA11" s="225">
        <f t="shared" si="9"/>
        <v>100</v>
      </c>
      <c r="AB11" s="225">
        <f t="shared" si="10"/>
        <v>100</v>
      </c>
      <c r="AC11" s="225">
        <f t="shared" si="11"/>
        <v>100</v>
      </c>
      <c r="AD11" s="225">
        <f t="shared" si="12"/>
        <v>100</v>
      </c>
    </row>
    <row r="12" spans="1:30" ht="112.5">
      <c r="A12" s="173">
        <v>2</v>
      </c>
      <c r="B12" s="182" t="s">
        <v>285</v>
      </c>
      <c r="C12" s="177" t="s">
        <v>378</v>
      </c>
      <c r="D12" s="173"/>
      <c r="E12" s="173">
        <f>E7</f>
        <v>4119.0389999999998</v>
      </c>
      <c r="F12" s="125">
        <f>F7</f>
        <v>4200.674</v>
      </c>
      <c r="G12" s="227">
        <f>SUM(H12:K12)</f>
        <v>4181.0868</v>
      </c>
      <c r="H12" s="39">
        <f>H7</f>
        <v>1251.5415</v>
      </c>
      <c r="I12" s="125">
        <f>I7</f>
        <v>902.49369999999999</v>
      </c>
      <c r="J12" s="125">
        <f>J7</f>
        <v>819.64779999999996</v>
      </c>
      <c r="K12" s="125">
        <f>K7</f>
        <v>1207.4038</v>
      </c>
      <c r="L12" s="125">
        <f t="shared" ref="L12:O12" si="17">L7</f>
        <v>4252.165</v>
      </c>
      <c r="M12" s="125">
        <f t="shared" si="17"/>
        <v>4345.7129999999997</v>
      </c>
      <c r="N12" s="125">
        <f t="shared" si="17"/>
        <v>4423.9359999999997</v>
      </c>
      <c r="O12" s="125">
        <f t="shared" si="17"/>
        <v>4499.143</v>
      </c>
      <c r="P12" s="173"/>
      <c r="Q12" s="173"/>
      <c r="R12" s="173"/>
      <c r="S12" s="173"/>
      <c r="T12" s="173"/>
      <c r="U12" s="224">
        <f t="shared" si="3"/>
        <v>4181.0868</v>
      </c>
      <c r="V12" s="224">
        <f t="shared" si="4"/>
        <v>4252.165</v>
      </c>
      <c r="W12" s="224">
        <f t="shared" si="5"/>
        <v>4345.7129999999997</v>
      </c>
      <c r="X12" s="224">
        <f t="shared" si="6"/>
        <v>4423.9359999999997</v>
      </c>
      <c r="Y12" s="224">
        <f t="shared" si="7"/>
        <v>4499.143</v>
      </c>
      <c r="Z12" s="225">
        <f t="shared" si="8"/>
        <v>100</v>
      </c>
      <c r="AA12" s="225">
        <f t="shared" si="9"/>
        <v>100</v>
      </c>
      <c r="AB12" s="225">
        <f t="shared" si="10"/>
        <v>100</v>
      </c>
      <c r="AC12" s="225">
        <f t="shared" si="11"/>
        <v>100</v>
      </c>
      <c r="AD12" s="225">
        <f t="shared" si="12"/>
        <v>100</v>
      </c>
    </row>
    <row r="13" spans="1:30" ht="94.5" customHeight="1">
      <c r="A13" s="173">
        <v>3</v>
      </c>
      <c r="B13" s="182" t="s">
        <v>277</v>
      </c>
      <c r="C13" s="177" t="s">
        <v>378</v>
      </c>
      <c r="D13" s="173"/>
      <c r="E13" s="173">
        <v>4119.0389999999998</v>
      </c>
      <c r="F13" s="125">
        <f>F12</f>
        <v>4200.674</v>
      </c>
      <c r="G13" s="227">
        <f>SUM(H13:K13)</f>
        <v>4181.0868</v>
      </c>
      <c r="H13" s="228">
        <f>H12</f>
        <v>1251.5415</v>
      </c>
      <c r="I13" s="125">
        <f>I12</f>
        <v>902.49369999999999</v>
      </c>
      <c r="J13" s="125">
        <f>J12</f>
        <v>819.64779999999996</v>
      </c>
      <c r="K13" s="125">
        <f>K12</f>
        <v>1207.4038</v>
      </c>
      <c r="L13" s="125">
        <f t="shared" ref="L13:O13" si="18">L12</f>
        <v>4252.165</v>
      </c>
      <c r="M13" s="125">
        <f t="shared" si="18"/>
        <v>4345.7129999999997</v>
      </c>
      <c r="N13" s="125">
        <f t="shared" si="18"/>
        <v>4423.9359999999997</v>
      </c>
      <c r="O13" s="125">
        <f t="shared" si="18"/>
        <v>4499.143</v>
      </c>
      <c r="P13" s="196"/>
      <c r="Q13" s="196"/>
      <c r="R13" s="196"/>
      <c r="S13" s="196"/>
      <c r="T13" s="196"/>
      <c r="U13" s="224">
        <f t="shared" si="3"/>
        <v>4181.0868</v>
      </c>
      <c r="V13" s="224">
        <f t="shared" si="4"/>
        <v>4252.165</v>
      </c>
      <c r="W13" s="224">
        <f t="shared" si="5"/>
        <v>4345.7129999999997</v>
      </c>
      <c r="X13" s="224">
        <f t="shared" si="6"/>
        <v>4423.9359999999997</v>
      </c>
      <c r="Y13" s="224">
        <f t="shared" si="7"/>
        <v>4499.143</v>
      </c>
      <c r="Z13" s="225">
        <f t="shared" si="8"/>
        <v>100</v>
      </c>
      <c r="AA13" s="225">
        <f t="shared" si="9"/>
        <v>100</v>
      </c>
      <c r="AB13" s="225">
        <f t="shared" si="10"/>
        <v>100</v>
      </c>
      <c r="AC13" s="225">
        <f t="shared" si="11"/>
        <v>100</v>
      </c>
      <c r="AD13" s="225">
        <f t="shared" si="12"/>
        <v>100</v>
      </c>
    </row>
    <row r="14" spans="1:30">
      <c r="A14" s="173" t="s">
        <v>57</v>
      </c>
      <c r="B14" s="173" t="s">
        <v>63</v>
      </c>
      <c r="C14" s="177" t="s">
        <v>378</v>
      </c>
      <c r="D14" s="173"/>
      <c r="E14" s="173">
        <v>3778.1019999999999</v>
      </c>
      <c r="F14" s="141">
        <f>F8</f>
        <v>3860.498</v>
      </c>
      <c r="G14" s="222">
        <f>H14+I14+J14+K14</f>
        <v>3848.9120000000003</v>
      </c>
      <c r="H14" s="125">
        <v>1143.971</v>
      </c>
      <c r="I14" s="125">
        <v>830.18100000000004</v>
      </c>
      <c r="J14" s="125">
        <v>764.19899999999996</v>
      </c>
      <c r="K14" s="125">
        <v>1110.5609999999999</v>
      </c>
      <c r="L14" s="125">
        <f>ROUND(L13*($G$14/$G$13),3)</f>
        <v>3914.3429999999998</v>
      </c>
      <c r="M14" s="125">
        <f t="shared" ref="M14:O14" si="19">ROUND(M13*($G$14/$G$13),3)</f>
        <v>4000.4589999999998</v>
      </c>
      <c r="N14" s="125">
        <f t="shared" si="19"/>
        <v>4072.4679999999998</v>
      </c>
      <c r="O14" s="125">
        <f t="shared" si="19"/>
        <v>4141.7</v>
      </c>
      <c r="P14" s="196"/>
      <c r="Q14" s="196"/>
      <c r="R14" s="196"/>
      <c r="S14" s="196"/>
      <c r="T14" s="196"/>
      <c r="U14" s="224">
        <f t="shared" si="3"/>
        <v>3848.9120000000003</v>
      </c>
      <c r="V14" s="224">
        <f t="shared" si="4"/>
        <v>3914.3429999999998</v>
      </c>
      <c r="W14" s="224">
        <f t="shared" si="5"/>
        <v>4000.4589999999998</v>
      </c>
      <c r="X14" s="224">
        <f t="shared" si="6"/>
        <v>4072.4679999999998</v>
      </c>
      <c r="Y14" s="224">
        <f t="shared" si="7"/>
        <v>4141.7</v>
      </c>
      <c r="Z14" s="225">
        <f t="shared" si="8"/>
        <v>100</v>
      </c>
      <c r="AA14" s="225">
        <f t="shared" si="9"/>
        <v>100</v>
      </c>
      <c r="AB14" s="225">
        <f t="shared" si="10"/>
        <v>100</v>
      </c>
      <c r="AC14" s="225">
        <f t="shared" si="11"/>
        <v>100</v>
      </c>
      <c r="AD14" s="225">
        <f t="shared" si="12"/>
        <v>100</v>
      </c>
    </row>
    <row r="15" spans="1:30">
      <c r="A15" s="173" t="s">
        <v>78</v>
      </c>
      <c r="B15" s="173" t="s">
        <v>64</v>
      </c>
      <c r="C15" s="177" t="s">
        <v>378</v>
      </c>
      <c r="D15" s="173"/>
      <c r="E15" s="173"/>
      <c r="F15" s="39"/>
      <c r="G15" s="227">
        <f t="shared" si="13"/>
        <v>0</v>
      </c>
      <c r="H15" s="125"/>
      <c r="I15" s="125"/>
      <c r="J15" s="125"/>
      <c r="K15" s="125"/>
      <c r="L15" s="125"/>
      <c r="M15" s="125"/>
      <c r="N15" s="125"/>
      <c r="O15" s="125"/>
      <c r="P15" s="196"/>
      <c r="Q15" s="196"/>
      <c r="R15" s="196"/>
      <c r="S15" s="196"/>
      <c r="T15" s="196"/>
      <c r="U15" s="224">
        <f t="shared" si="3"/>
        <v>0</v>
      </c>
      <c r="V15" s="224">
        <f t="shared" si="4"/>
        <v>0</v>
      </c>
      <c r="W15" s="224">
        <f t="shared" si="5"/>
        <v>0</v>
      </c>
      <c r="X15" s="224">
        <f t="shared" si="6"/>
        <v>0</v>
      </c>
      <c r="Y15" s="224">
        <f t="shared" si="7"/>
        <v>0</v>
      </c>
      <c r="Z15" s="225" t="str">
        <f t="shared" si="8"/>
        <v/>
      </c>
      <c r="AA15" s="225" t="str">
        <f t="shared" si="9"/>
        <v/>
      </c>
      <c r="AB15" s="225" t="str">
        <f t="shared" si="10"/>
        <v/>
      </c>
      <c r="AC15" s="225" t="str">
        <f t="shared" si="11"/>
        <v/>
      </c>
      <c r="AD15" s="225" t="str">
        <f t="shared" si="12"/>
        <v/>
      </c>
    </row>
    <row r="16" spans="1:30">
      <c r="A16" s="173" t="s">
        <v>76</v>
      </c>
      <c r="B16" s="173" t="s">
        <v>65</v>
      </c>
      <c r="C16" s="177" t="s">
        <v>378</v>
      </c>
      <c r="D16" s="173"/>
      <c r="E16" s="173">
        <v>3029.4549999999999</v>
      </c>
      <c r="F16" s="125">
        <v>2932.8310000000001</v>
      </c>
      <c r="G16" s="227">
        <f t="shared" si="13"/>
        <v>2906.5060000000003</v>
      </c>
      <c r="H16" s="125">
        <v>867.89200000000005</v>
      </c>
      <c r="I16" s="125">
        <v>604.04399999999998</v>
      </c>
      <c r="J16" s="125">
        <v>562.13800000000003</v>
      </c>
      <c r="K16" s="125">
        <v>872.43200000000002</v>
      </c>
      <c r="L16" s="125">
        <f>ROUND(L13*($G$16/$G$13),3)</f>
        <v>2955.9160000000002</v>
      </c>
      <c r="M16" s="125">
        <f t="shared" ref="M16:O16" si="20">ROUND(M13*($G$16/$G$13),3)</f>
        <v>3020.9470000000001</v>
      </c>
      <c r="N16" s="125">
        <f t="shared" si="20"/>
        <v>3075.3240000000001</v>
      </c>
      <c r="O16" s="125">
        <f t="shared" si="20"/>
        <v>3127.605</v>
      </c>
      <c r="P16" s="196"/>
      <c r="Q16" s="196"/>
      <c r="R16" s="196"/>
      <c r="S16" s="196"/>
      <c r="T16" s="196"/>
      <c r="U16" s="224">
        <f t="shared" si="3"/>
        <v>2906.5060000000003</v>
      </c>
      <c r="V16" s="224">
        <f t="shared" si="4"/>
        <v>2955.9160000000002</v>
      </c>
      <c r="W16" s="224">
        <f t="shared" si="5"/>
        <v>3020.9470000000001</v>
      </c>
      <c r="X16" s="224">
        <f t="shared" si="6"/>
        <v>3075.3240000000001</v>
      </c>
      <c r="Y16" s="224">
        <f t="shared" si="7"/>
        <v>3127.605</v>
      </c>
      <c r="Z16" s="225">
        <f t="shared" si="8"/>
        <v>100</v>
      </c>
      <c r="AA16" s="225">
        <f t="shared" si="9"/>
        <v>100</v>
      </c>
      <c r="AB16" s="225">
        <f t="shared" si="10"/>
        <v>100</v>
      </c>
      <c r="AC16" s="225">
        <f t="shared" si="11"/>
        <v>100</v>
      </c>
      <c r="AD16" s="225">
        <f t="shared" si="12"/>
        <v>100</v>
      </c>
    </row>
    <row r="17" spans="1:30">
      <c r="A17" s="173" t="s">
        <v>77</v>
      </c>
      <c r="B17" s="173" t="s">
        <v>66</v>
      </c>
      <c r="C17" s="177" t="s">
        <v>378</v>
      </c>
      <c r="D17" s="173"/>
      <c r="E17" s="173">
        <v>1718.441</v>
      </c>
      <c r="F17" s="125">
        <v>1668.22</v>
      </c>
      <c r="G17" s="227">
        <f t="shared" si="13"/>
        <v>1642.2149999999999</v>
      </c>
      <c r="H17" s="125">
        <v>493.012</v>
      </c>
      <c r="I17" s="125">
        <v>343.18799999999999</v>
      </c>
      <c r="J17" s="125">
        <v>310.60899999999998</v>
      </c>
      <c r="K17" s="125">
        <v>495.40600000000001</v>
      </c>
      <c r="L17" s="125">
        <f>ROUND(L13*($G$17/$G$13),3)</f>
        <v>1670.133</v>
      </c>
      <c r="M17" s="125">
        <f t="shared" ref="M17:O17" si="21">ROUND(M13*($G$17/$G$13),3)</f>
        <v>1706.876</v>
      </c>
      <c r="N17" s="125">
        <f t="shared" si="21"/>
        <v>1737.5989999999999</v>
      </c>
      <c r="O17" s="125">
        <f t="shared" si="21"/>
        <v>1767.1389999999999</v>
      </c>
      <c r="P17" s="196"/>
      <c r="Q17" s="196"/>
      <c r="R17" s="196"/>
      <c r="S17" s="196"/>
      <c r="T17" s="196"/>
      <c r="U17" s="224">
        <f t="shared" si="3"/>
        <v>1642.2149999999999</v>
      </c>
      <c r="V17" s="224">
        <f t="shared" si="4"/>
        <v>1670.133</v>
      </c>
      <c r="W17" s="224">
        <f t="shared" si="5"/>
        <v>1706.876</v>
      </c>
      <c r="X17" s="224">
        <f t="shared" si="6"/>
        <v>1737.5989999999999</v>
      </c>
      <c r="Y17" s="224">
        <f t="shared" si="7"/>
        <v>1767.1389999999999</v>
      </c>
      <c r="Z17" s="225">
        <f t="shared" si="8"/>
        <v>100</v>
      </c>
      <c r="AA17" s="225">
        <f t="shared" si="9"/>
        <v>100</v>
      </c>
      <c r="AB17" s="225">
        <f t="shared" si="10"/>
        <v>100</v>
      </c>
      <c r="AC17" s="225">
        <f t="shared" si="11"/>
        <v>100</v>
      </c>
      <c r="AD17" s="225">
        <f t="shared" si="12"/>
        <v>100</v>
      </c>
    </row>
    <row r="18" spans="1:30" ht="12.75" customHeight="1">
      <c r="A18" s="303">
        <v>4</v>
      </c>
      <c r="B18" s="329" t="s">
        <v>69</v>
      </c>
      <c r="C18" s="177" t="s">
        <v>378</v>
      </c>
      <c r="D18" s="173"/>
      <c r="E18" s="173">
        <f>E22+E30+E34</f>
        <v>796.173</v>
      </c>
      <c r="F18" s="173">
        <f>F22+F30+F34</f>
        <v>820.06899999999996</v>
      </c>
      <c r="G18" s="227">
        <f>SUM(H18:K18)</f>
        <v>745.56499999999994</v>
      </c>
      <c r="H18" s="173">
        <v>265.26299999999998</v>
      </c>
      <c r="I18" s="173">
        <v>134.67699999999999</v>
      </c>
      <c r="J18" s="173">
        <v>109.33</v>
      </c>
      <c r="K18" s="173">
        <v>236.29499999999999</v>
      </c>
      <c r="L18" s="125">
        <v>753.05799999999999</v>
      </c>
      <c r="M18" s="125">
        <v>764.41099999999994</v>
      </c>
      <c r="N18" s="125">
        <v>764.01400000000001</v>
      </c>
      <c r="O18" s="125">
        <v>771.60299999999995</v>
      </c>
      <c r="P18" s="196"/>
      <c r="Q18" s="196"/>
      <c r="R18" s="196"/>
      <c r="S18" s="196"/>
      <c r="T18" s="196"/>
      <c r="U18" s="224">
        <f t="shared" si="3"/>
        <v>745.56499999999994</v>
      </c>
      <c r="V18" s="224">
        <f t="shared" si="4"/>
        <v>753.05799999999999</v>
      </c>
      <c r="W18" s="224">
        <f t="shared" si="5"/>
        <v>764.41099999999994</v>
      </c>
      <c r="X18" s="224">
        <f t="shared" si="6"/>
        <v>764.01400000000001</v>
      </c>
      <c r="Y18" s="224">
        <f t="shared" si="7"/>
        <v>771.60299999999995</v>
      </c>
      <c r="Z18" s="225">
        <f t="shared" si="8"/>
        <v>100</v>
      </c>
      <c r="AA18" s="225">
        <f t="shared" si="9"/>
        <v>100</v>
      </c>
      <c r="AB18" s="225">
        <f t="shared" si="10"/>
        <v>100</v>
      </c>
      <c r="AC18" s="225">
        <f t="shared" si="11"/>
        <v>100</v>
      </c>
      <c r="AD18" s="225">
        <f t="shared" si="12"/>
        <v>100</v>
      </c>
    </row>
    <row r="19" spans="1:30" ht="12.75" customHeight="1">
      <c r="A19" s="303"/>
      <c r="B19" s="332"/>
      <c r="C19" s="173" t="s">
        <v>49</v>
      </c>
      <c r="D19" s="173"/>
      <c r="E19" s="197">
        <f>E23+E27+E31+E35</f>
        <v>1178.8981381379999</v>
      </c>
      <c r="F19" s="197">
        <f>F23+F27+F31+F35</f>
        <v>1289.4379523569999</v>
      </c>
      <c r="G19" s="227">
        <f>SUM(H19:K19)</f>
        <v>1190.9152114999999</v>
      </c>
      <c r="H19" s="228">
        <f>H23+H31+H35</f>
        <v>404.04594896999998</v>
      </c>
      <c r="I19" s="228">
        <f t="shared" ref="I19:O19" si="22">I23+I31+I35</f>
        <v>205.13865963000001</v>
      </c>
      <c r="J19" s="228">
        <f t="shared" si="22"/>
        <v>184.01660289999998</v>
      </c>
      <c r="K19" s="228">
        <f t="shared" si="22"/>
        <v>397.714</v>
      </c>
      <c r="L19" s="228">
        <f t="shared" si="22"/>
        <v>1330.1875176200001</v>
      </c>
      <c r="M19" s="228">
        <f t="shared" si="22"/>
        <v>1483.15</v>
      </c>
      <c r="N19" s="228">
        <f t="shared" si="22"/>
        <v>1623.2084933199999</v>
      </c>
      <c r="O19" s="228">
        <f t="shared" si="22"/>
        <v>1795.067</v>
      </c>
      <c r="P19" s="196"/>
      <c r="Q19" s="196"/>
      <c r="R19" s="196"/>
      <c r="S19" s="196"/>
      <c r="T19" s="196"/>
      <c r="U19" s="224">
        <f t="shared" si="3"/>
        <v>1190.9152114999999</v>
      </c>
      <c r="V19" s="224">
        <f t="shared" si="4"/>
        <v>1330.1875176200001</v>
      </c>
      <c r="W19" s="224">
        <f t="shared" si="5"/>
        <v>1483.15</v>
      </c>
      <c r="X19" s="224">
        <f t="shared" si="6"/>
        <v>1623.2084933199999</v>
      </c>
      <c r="Y19" s="224">
        <f t="shared" si="7"/>
        <v>1795.067</v>
      </c>
      <c r="Z19" s="225">
        <f t="shared" si="8"/>
        <v>100</v>
      </c>
      <c r="AA19" s="225">
        <f t="shared" si="9"/>
        <v>100</v>
      </c>
      <c r="AB19" s="225">
        <f t="shared" si="10"/>
        <v>100</v>
      </c>
      <c r="AC19" s="225">
        <f t="shared" si="11"/>
        <v>100</v>
      </c>
      <c r="AD19" s="225">
        <f t="shared" si="12"/>
        <v>100</v>
      </c>
    </row>
    <row r="20" spans="1:30">
      <c r="A20" s="303"/>
      <c r="B20" s="332"/>
      <c r="C20" s="173" t="s">
        <v>74</v>
      </c>
      <c r="D20" s="173"/>
      <c r="E20" s="229">
        <f>IF(E7&gt;0,E18/E$7*100,)</f>
        <v>19.329095937183407</v>
      </c>
      <c r="F20" s="229">
        <f>IF(F7&gt;0,F18/F$7*100,)</f>
        <v>19.522319513487595</v>
      </c>
      <c r="G20" s="230">
        <f t="shared" ref="G20:O20" si="23">IF(G7&gt;0,G18/G$7*100,)</f>
        <v>17.831846973375438</v>
      </c>
      <c r="H20" s="229">
        <f t="shared" si="23"/>
        <v>21.194902446303214</v>
      </c>
      <c r="I20" s="229">
        <f t="shared" si="23"/>
        <v>14.922763449761478</v>
      </c>
      <c r="J20" s="229">
        <f t="shared" si="23"/>
        <v>13.338655944663062</v>
      </c>
      <c r="K20" s="229">
        <f t="shared" si="23"/>
        <v>19.57050325665697</v>
      </c>
      <c r="L20" s="229">
        <f t="shared" si="23"/>
        <v>17.709990087402534</v>
      </c>
      <c r="M20" s="229">
        <f t="shared" si="23"/>
        <v>17.5900019168316</v>
      </c>
      <c r="N20" s="229">
        <f t="shared" si="23"/>
        <v>17.270005714368384</v>
      </c>
      <c r="O20" s="229">
        <f t="shared" si="23"/>
        <v>17.149999455451848</v>
      </c>
      <c r="P20" s="229">
        <f t="shared" ref="P20:T20" si="24">IF(P7&gt;0,P18/P$7*100,)</f>
        <v>0</v>
      </c>
      <c r="Q20" s="229">
        <f t="shared" si="24"/>
        <v>0</v>
      </c>
      <c r="R20" s="229">
        <f t="shared" si="24"/>
        <v>0</v>
      </c>
      <c r="S20" s="229">
        <f t="shared" si="24"/>
        <v>0</v>
      </c>
      <c r="T20" s="229">
        <f t="shared" si="24"/>
        <v>0</v>
      </c>
      <c r="U20" s="224">
        <f>G20-P20</f>
        <v>17.831846973375438</v>
      </c>
      <c r="V20" s="224">
        <f t="shared" si="4"/>
        <v>17.709990087402534</v>
      </c>
      <c r="W20" s="224">
        <f t="shared" si="5"/>
        <v>17.5900019168316</v>
      </c>
      <c r="X20" s="224">
        <f t="shared" si="6"/>
        <v>17.270005714368384</v>
      </c>
      <c r="Y20" s="224">
        <f t="shared" si="7"/>
        <v>17.149999455451848</v>
      </c>
      <c r="Z20" s="225">
        <f t="shared" si="8"/>
        <v>100</v>
      </c>
      <c r="AA20" s="225">
        <f t="shared" si="9"/>
        <v>100</v>
      </c>
      <c r="AB20" s="225">
        <f t="shared" si="10"/>
        <v>100</v>
      </c>
      <c r="AC20" s="225">
        <f t="shared" si="11"/>
        <v>100</v>
      </c>
      <c r="AD20" s="225">
        <f t="shared" si="12"/>
        <v>100</v>
      </c>
    </row>
    <row r="21" spans="1:30">
      <c r="A21" s="303"/>
      <c r="B21" s="330"/>
      <c r="C21" s="173" t="s">
        <v>75</v>
      </c>
      <c r="D21" s="173"/>
      <c r="E21" s="229">
        <f>IF(E12&gt;0,E18/E$12*100,)</f>
        <v>19.329095937183407</v>
      </c>
      <c r="F21" s="229">
        <f>IF(F12&gt;0,F18/F$12*100,)</f>
        <v>19.522319513487595</v>
      </c>
      <c r="G21" s="230">
        <f t="shared" ref="G21:O21" si="25">IF(G12&gt;0,G18/G$12*100,)</f>
        <v>17.831846973375438</v>
      </c>
      <c r="H21" s="229">
        <f t="shared" si="25"/>
        <v>21.194902446303214</v>
      </c>
      <c r="I21" s="229">
        <f t="shared" si="25"/>
        <v>14.922763449761478</v>
      </c>
      <c r="J21" s="229">
        <f t="shared" si="25"/>
        <v>13.338655944663062</v>
      </c>
      <c r="K21" s="229">
        <f t="shared" si="25"/>
        <v>19.57050325665697</v>
      </c>
      <c r="L21" s="229">
        <f t="shared" si="25"/>
        <v>17.709990087402534</v>
      </c>
      <c r="M21" s="229">
        <f t="shared" si="25"/>
        <v>17.5900019168316</v>
      </c>
      <c r="N21" s="229">
        <f t="shared" si="25"/>
        <v>17.270005714368384</v>
      </c>
      <c r="O21" s="229">
        <f t="shared" si="25"/>
        <v>17.149999455451848</v>
      </c>
      <c r="P21" s="229">
        <f t="shared" ref="P21:T21" si="26">IF(P12&gt;0,P18/P$12*100,)</f>
        <v>0</v>
      </c>
      <c r="Q21" s="229">
        <f t="shared" si="26"/>
        <v>0</v>
      </c>
      <c r="R21" s="229">
        <f t="shared" si="26"/>
        <v>0</v>
      </c>
      <c r="S21" s="229">
        <f t="shared" si="26"/>
        <v>0</v>
      </c>
      <c r="T21" s="229">
        <f t="shared" si="26"/>
        <v>0</v>
      </c>
      <c r="U21" s="224">
        <f t="shared" si="3"/>
        <v>17.831846973375438</v>
      </c>
      <c r="V21" s="224">
        <f t="shared" si="4"/>
        <v>17.709990087402534</v>
      </c>
      <c r="W21" s="224">
        <f t="shared" si="5"/>
        <v>17.5900019168316</v>
      </c>
      <c r="X21" s="224">
        <f t="shared" si="6"/>
        <v>17.270005714368384</v>
      </c>
      <c r="Y21" s="224">
        <f t="shared" si="7"/>
        <v>17.149999455451848</v>
      </c>
      <c r="Z21" s="225">
        <f t="shared" si="8"/>
        <v>100</v>
      </c>
      <c r="AA21" s="225">
        <f t="shared" si="9"/>
        <v>100</v>
      </c>
      <c r="AB21" s="225">
        <f t="shared" si="10"/>
        <v>100</v>
      </c>
      <c r="AC21" s="225">
        <f t="shared" si="11"/>
        <v>100</v>
      </c>
      <c r="AD21" s="225">
        <f t="shared" si="12"/>
        <v>100</v>
      </c>
    </row>
    <row r="22" spans="1:30">
      <c r="A22" s="303" t="s">
        <v>56</v>
      </c>
      <c r="B22" s="303" t="s">
        <v>63</v>
      </c>
      <c r="C22" s="177" t="s">
        <v>378</v>
      </c>
      <c r="D22" s="173"/>
      <c r="E22" s="173">
        <v>94.638999999999996</v>
      </c>
      <c r="F22" s="39">
        <f>91.642+87.909</f>
        <v>179.55099999999999</v>
      </c>
      <c r="G22" s="227">
        <v>176.88300000000001</v>
      </c>
      <c r="H22" s="125">
        <v>48.296999999999997</v>
      </c>
      <c r="I22" s="125">
        <v>36.054000000000002</v>
      </c>
      <c r="J22" s="125">
        <v>36.795999999999999</v>
      </c>
      <c r="K22" s="125">
        <f>G22-H22-I22-J22</f>
        <v>55.736000000000011</v>
      </c>
      <c r="L22" s="125">
        <f>ROUND(($G$22/$G$18)*L18,3)</f>
        <v>178.661</v>
      </c>
      <c r="M22" s="125">
        <f t="shared" ref="M22:O22" si="27">ROUND(($G$22/$G$18)*M18,3)</f>
        <v>181.35400000000001</v>
      </c>
      <c r="N22" s="125">
        <f t="shared" si="27"/>
        <v>181.26</v>
      </c>
      <c r="O22" s="125">
        <f t="shared" si="27"/>
        <v>183.06</v>
      </c>
      <c r="P22" s="173"/>
      <c r="Q22" s="173"/>
      <c r="R22" s="173"/>
      <c r="S22" s="173"/>
      <c r="T22" s="173"/>
      <c r="U22" s="224">
        <f t="shared" si="3"/>
        <v>176.88300000000001</v>
      </c>
      <c r="V22" s="224">
        <f t="shared" si="4"/>
        <v>178.661</v>
      </c>
      <c r="W22" s="224">
        <f t="shared" si="5"/>
        <v>181.35400000000001</v>
      </c>
      <c r="X22" s="224">
        <f t="shared" si="6"/>
        <v>181.26</v>
      </c>
      <c r="Y22" s="224">
        <f t="shared" si="7"/>
        <v>183.06</v>
      </c>
      <c r="Z22" s="225">
        <f t="shared" si="8"/>
        <v>100</v>
      </c>
      <c r="AA22" s="225">
        <f t="shared" si="9"/>
        <v>100</v>
      </c>
      <c r="AB22" s="225">
        <f t="shared" si="10"/>
        <v>100</v>
      </c>
      <c r="AC22" s="225">
        <f t="shared" si="11"/>
        <v>100</v>
      </c>
      <c r="AD22" s="225">
        <f t="shared" si="12"/>
        <v>100</v>
      </c>
    </row>
    <row r="23" spans="1:30">
      <c r="A23" s="303"/>
      <c r="B23" s="303"/>
      <c r="C23" s="173" t="s">
        <v>49</v>
      </c>
      <c r="D23" s="173"/>
      <c r="E23" s="197">
        <f>E22*1.480706</f>
        <v>140.13253513399999</v>
      </c>
      <c r="F23" s="39">
        <f>F22*1.572353</f>
        <v>282.31755350299994</v>
      </c>
      <c r="G23" s="227">
        <f t="shared" ref="G23" si="28">SUM(H23:K23)</f>
        <v>284.22505117000003</v>
      </c>
      <c r="H23" s="125">
        <f>H22*1.52319</f>
        <v>73.565507429999997</v>
      </c>
      <c r="I23" s="125">
        <f>I22*1.52319</f>
        <v>54.917092260000004</v>
      </c>
      <c r="J23" s="125">
        <f>J22*1.68313</f>
        <v>61.932451479999997</v>
      </c>
      <c r="K23" s="125">
        <f>ROUNDDOWN(K22*1.68313,3)</f>
        <v>93.81</v>
      </c>
      <c r="L23" s="125">
        <f>L22*1.76638</f>
        <v>315.58321718000002</v>
      </c>
      <c r="M23" s="125">
        <f>ROUNDUP(M22*1.94025,3)</f>
        <v>351.87299999999999</v>
      </c>
      <c r="N23" s="125">
        <f>ROUNDDOWN(N22*2.12458,3)</f>
        <v>385.101</v>
      </c>
      <c r="O23" s="125">
        <f>ROUNDUP(O22*2.32641,3)</f>
        <v>425.87299999999999</v>
      </c>
      <c r="P23" s="173"/>
      <c r="Q23" s="173"/>
      <c r="R23" s="173"/>
      <c r="S23" s="173"/>
      <c r="T23" s="173"/>
      <c r="U23" s="224">
        <f t="shared" si="3"/>
        <v>284.22505117000003</v>
      </c>
      <c r="V23" s="224">
        <f t="shared" si="4"/>
        <v>315.58321718000002</v>
      </c>
      <c r="W23" s="224">
        <f t="shared" si="5"/>
        <v>351.87299999999999</v>
      </c>
      <c r="X23" s="224">
        <f t="shared" si="6"/>
        <v>385.101</v>
      </c>
      <c r="Y23" s="224">
        <f t="shared" si="7"/>
        <v>425.87299999999999</v>
      </c>
      <c r="Z23" s="225">
        <f t="shared" si="8"/>
        <v>100</v>
      </c>
      <c r="AA23" s="225">
        <f t="shared" si="9"/>
        <v>100</v>
      </c>
      <c r="AB23" s="225">
        <f t="shared" si="10"/>
        <v>100</v>
      </c>
      <c r="AC23" s="225">
        <f t="shared" si="11"/>
        <v>100</v>
      </c>
      <c r="AD23" s="225">
        <f t="shared" si="12"/>
        <v>100</v>
      </c>
    </row>
    <row r="24" spans="1:30">
      <c r="A24" s="303"/>
      <c r="B24" s="303"/>
      <c r="C24" s="173" t="s">
        <v>70</v>
      </c>
      <c r="D24" s="173"/>
      <c r="E24" s="231">
        <f>IF(E8&gt;0,E22/E$8*100,)</f>
        <v>2.5049350176358396</v>
      </c>
      <c r="F24" s="231">
        <f>IF(F8&gt;0,F22/F$8*100,)</f>
        <v>4.6509802621319842</v>
      </c>
      <c r="G24" s="232">
        <f t="shared" ref="G24:O24" si="29">IF(G8&gt;0,G22/G$8*100,)</f>
        <v>4.5956623586093936</v>
      </c>
      <c r="H24" s="231">
        <f t="shared" si="29"/>
        <v>4.2218727572639514</v>
      </c>
      <c r="I24" s="231">
        <f t="shared" si="29"/>
        <v>4.3429083537204534</v>
      </c>
      <c r="J24" s="231">
        <f t="shared" si="29"/>
        <v>4.8149762038421935</v>
      </c>
      <c r="K24" s="231">
        <f t="shared" si="29"/>
        <v>5.0187247706339422</v>
      </c>
      <c r="L24" s="231">
        <f t="shared" si="29"/>
        <v>4.5642653185988049</v>
      </c>
      <c r="M24" s="231">
        <f t="shared" si="29"/>
        <v>4.5333298004054043</v>
      </c>
      <c r="N24" s="231">
        <f t="shared" si="29"/>
        <v>4.4508637023053339</v>
      </c>
      <c r="O24" s="231">
        <f t="shared" si="29"/>
        <v>4.4199241857208396</v>
      </c>
      <c r="P24" s="231">
        <f t="shared" ref="P24:T24" si="30">IF(P8&gt;0,P22/P$8*100,)</f>
        <v>0</v>
      </c>
      <c r="Q24" s="231">
        <f t="shared" si="30"/>
        <v>0</v>
      </c>
      <c r="R24" s="231">
        <f t="shared" si="30"/>
        <v>0</v>
      </c>
      <c r="S24" s="231">
        <f t="shared" si="30"/>
        <v>0</v>
      </c>
      <c r="T24" s="231">
        <f t="shared" si="30"/>
        <v>0</v>
      </c>
      <c r="U24" s="224">
        <f t="shared" si="3"/>
        <v>4.5956623586093936</v>
      </c>
      <c r="V24" s="224">
        <f t="shared" si="4"/>
        <v>4.5642653185988049</v>
      </c>
      <c r="W24" s="224">
        <f t="shared" si="5"/>
        <v>4.5333298004054043</v>
      </c>
      <c r="X24" s="224">
        <f t="shared" si="6"/>
        <v>4.4508637023053339</v>
      </c>
      <c r="Y24" s="224">
        <f t="shared" si="7"/>
        <v>4.4199241857208396</v>
      </c>
      <c r="Z24" s="225">
        <f t="shared" si="8"/>
        <v>100</v>
      </c>
      <c r="AA24" s="225">
        <f t="shared" si="9"/>
        <v>100</v>
      </c>
      <c r="AB24" s="225">
        <f t="shared" si="10"/>
        <v>100</v>
      </c>
      <c r="AC24" s="225">
        <f t="shared" si="11"/>
        <v>100</v>
      </c>
      <c r="AD24" s="225">
        <f t="shared" si="12"/>
        <v>100</v>
      </c>
    </row>
    <row r="25" spans="1:30">
      <c r="A25" s="303"/>
      <c r="B25" s="303"/>
      <c r="C25" s="173" t="s">
        <v>132</v>
      </c>
      <c r="D25" s="173"/>
      <c r="E25" s="231">
        <f>IF(E16&gt;0,E22/E$16*100,)</f>
        <v>3.1239612405531689</v>
      </c>
      <c r="F25" s="231">
        <f>IF(F14&gt;0,F22/F$14*100,)</f>
        <v>4.6509802621319842</v>
      </c>
      <c r="G25" s="232">
        <f t="shared" ref="G25:O25" si="31">IF(G14&gt;0,G22/G$14*100,)</f>
        <v>4.5956623586093936</v>
      </c>
      <c r="H25" s="231">
        <f t="shared" si="31"/>
        <v>4.2218727572639514</v>
      </c>
      <c r="I25" s="231">
        <f t="shared" si="31"/>
        <v>4.3429083537204534</v>
      </c>
      <c r="J25" s="231">
        <f t="shared" si="31"/>
        <v>4.8149762038421935</v>
      </c>
      <c r="K25" s="231">
        <f t="shared" si="31"/>
        <v>5.0187247706339422</v>
      </c>
      <c r="L25" s="231">
        <f t="shared" si="31"/>
        <v>4.5642653185988049</v>
      </c>
      <c r="M25" s="231">
        <f t="shared" si="31"/>
        <v>4.5333298004054043</v>
      </c>
      <c r="N25" s="231">
        <f t="shared" si="31"/>
        <v>4.4508637023053339</v>
      </c>
      <c r="O25" s="231">
        <f t="shared" si="31"/>
        <v>4.4199241857208396</v>
      </c>
      <c r="P25" s="231">
        <f t="shared" ref="P25:T25" si="32">IF(P14&gt;0,P22/P$14*100,)</f>
        <v>0</v>
      </c>
      <c r="Q25" s="231">
        <f t="shared" si="32"/>
        <v>0</v>
      </c>
      <c r="R25" s="231">
        <f t="shared" si="32"/>
        <v>0</v>
      </c>
      <c r="S25" s="231">
        <f t="shared" si="32"/>
        <v>0</v>
      </c>
      <c r="T25" s="231">
        <f t="shared" si="32"/>
        <v>0</v>
      </c>
      <c r="U25" s="224">
        <f t="shared" si="3"/>
        <v>4.5956623586093936</v>
      </c>
      <c r="V25" s="224">
        <f t="shared" si="4"/>
        <v>4.5642653185988049</v>
      </c>
      <c r="W25" s="224">
        <f t="shared" si="5"/>
        <v>4.5333298004054043</v>
      </c>
      <c r="X25" s="224">
        <f t="shared" si="6"/>
        <v>4.4508637023053339</v>
      </c>
      <c r="Y25" s="224">
        <f t="shared" si="7"/>
        <v>4.4199241857208396</v>
      </c>
      <c r="Z25" s="225">
        <f t="shared" si="8"/>
        <v>100</v>
      </c>
      <c r="AA25" s="225">
        <f t="shared" si="9"/>
        <v>100</v>
      </c>
      <c r="AB25" s="225">
        <f t="shared" si="10"/>
        <v>100</v>
      </c>
      <c r="AC25" s="225">
        <f t="shared" si="11"/>
        <v>100</v>
      </c>
      <c r="AD25" s="225">
        <f t="shared" si="12"/>
        <v>100</v>
      </c>
    </row>
    <row r="26" spans="1:30">
      <c r="A26" s="303" t="s">
        <v>58</v>
      </c>
      <c r="B26" s="303" t="s">
        <v>64</v>
      </c>
      <c r="C26" s="177" t="s">
        <v>378</v>
      </c>
      <c r="D26" s="173"/>
      <c r="E26" s="173"/>
      <c r="F26" s="233"/>
      <c r="G26" s="227">
        <f>SUM(H26:K26)</f>
        <v>0</v>
      </c>
      <c r="H26" s="233"/>
      <c r="I26" s="233"/>
      <c r="J26" s="233"/>
      <c r="K26" s="233"/>
      <c r="L26" s="233"/>
      <c r="M26" s="233"/>
      <c r="N26" s="233"/>
      <c r="O26" s="233"/>
      <c r="P26" s="196"/>
      <c r="Q26" s="196"/>
      <c r="R26" s="196"/>
      <c r="S26" s="196"/>
      <c r="T26" s="196"/>
      <c r="U26" s="224">
        <f t="shared" si="3"/>
        <v>0</v>
      </c>
      <c r="V26" s="224">
        <f t="shared" si="4"/>
        <v>0</v>
      </c>
      <c r="W26" s="224">
        <f t="shared" si="5"/>
        <v>0</v>
      </c>
      <c r="X26" s="224">
        <f t="shared" si="6"/>
        <v>0</v>
      </c>
      <c r="Y26" s="224">
        <f t="shared" si="7"/>
        <v>0</v>
      </c>
      <c r="Z26" s="225" t="str">
        <f t="shared" si="8"/>
        <v/>
      </c>
      <c r="AA26" s="225" t="str">
        <f t="shared" si="9"/>
        <v/>
      </c>
      <c r="AB26" s="225" t="str">
        <f t="shared" si="10"/>
        <v/>
      </c>
      <c r="AC26" s="225" t="str">
        <f t="shared" si="11"/>
        <v/>
      </c>
      <c r="AD26" s="225" t="str">
        <f t="shared" si="12"/>
        <v/>
      </c>
    </row>
    <row r="27" spans="1:30">
      <c r="A27" s="303"/>
      <c r="B27" s="303"/>
      <c r="C27" s="173" t="s">
        <v>49</v>
      </c>
      <c r="D27" s="173"/>
      <c r="E27" s="173"/>
      <c r="F27" s="233"/>
      <c r="G27" s="227">
        <f t="shared" ref="G27" si="33">SUM(H27:K27)</f>
        <v>0</v>
      </c>
      <c r="H27" s="233"/>
      <c r="I27" s="233"/>
      <c r="J27" s="233"/>
      <c r="K27" s="233"/>
      <c r="L27" s="233"/>
      <c r="M27" s="233"/>
      <c r="N27" s="233"/>
      <c r="O27" s="233"/>
      <c r="P27" s="196"/>
      <c r="Q27" s="196"/>
      <c r="R27" s="196"/>
      <c r="S27" s="196"/>
      <c r="T27" s="196"/>
      <c r="U27" s="224">
        <f t="shared" si="3"/>
        <v>0</v>
      </c>
      <c r="V27" s="224">
        <f t="shared" si="4"/>
        <v>0</v>
      </c>
      <c r="W27" s="224">
        <f t="shared" si="5"/>
        <v>0</v>
      </c>
      <c r="X27" s="224">
        <f t="shared" si="6"/>
        <v>0</v>
      </c>
      <c r="Y27" s="224">
        <f t="shared" si="7"/>
        <v>0</v>
      </c>
      <c r="Z27" s="225" t="str">
        <f t="shared" si="8"/>
        <v/>
      </c>
      <c r="AA27" s="225" t="str">
        <f t="shared" si="9"/>
        <v/>
      </c>
      <c r="AB27" s="225" t="str">
        <f t="shared" si="10"/>
        <v/>
      </c>
      <c r="AC27" s="225" t="str">
        <f t="shared" si="11"/>
        <v/>
      </c>
      <c r="AD27" s="225" t="str">
        <f t="shared" si="12"/>
        <v/>
      </c>
    </row>
    <row r="28" spans="1:30">
      <c r="A28" s="303"/>
      <c r="B28" s="303"/>
      <c r="C28" s="173" t="s">
        <v>71</v>
      </c>
      <c r="D28" s="173"/>
      <c r="E28" s="173"/>
      <c r="F28" s="231">
        <f>IF(F9&gt;0,F26/F$9*100,)</f>
        <v>0</v>
      </c>
      <c r="G28" s="232">
        <f t="shared" ref="G28:O28" si="34">IF(G9&gt;0,G26/G$9*100,)</f>
        <v>0</v>
      </c>
      <c r="H28" s="231">
        <f t="shared" si="34"/>
        <v>0</v>
      </c>
      <c r="I28" s="231">
        <f t="shared" si="34"/>
        <v>0</v>
      </c>
      <c r="J28" s="231">
        <f t="shared" si="34"/>
        <v>0</v>
      </c>
      <c r="K28" s="231">
        <f t="shared" si="34"/>
        <v>0</v>
      </c>
      <c r="L28" s="231">
        <f t="shared" si="34"/>
        <v>0</v>
      </c>
      <c r="M28" s="231">
        <f t="shared" si="34"/>
        <v>0</v>
      </c>
      <c r="N28" s="231">
        <f t="shared" si="34"/>
        <v>0</v>
      </c>
      <c r="O28" s="231">
        <f t="shared" si="34"/>
        <v>0</v>
      </c>
      <c r="P28" s="231">
        <f t="shared" ref="P28:T28" si="35">IF(P9&gt;0,P26/P$9*100,)</f>
        <v>0</v>
      </c>
      <c r="Q28" s="231">
        <f t="shared" si="35"/>
        <v>0</v>
      </c>
      <c r="R28" s="231">
        <f t="shared" si="35"/>
        <v>0</v>
      </c>
      <c r="S28" s="231">
        <f t="shared" si="35"/>
        <v>0</v>
      </c>
      <c r="T28" s="231">
        <f t="shared" si="35"/>
        <v>0</v>
      </c>
      <c r="U28" s="224">
        <f t="shared" si="3"/>
        <v>0</v>
      </c>
      <c r="V28" s="224">
        <f t="shared" si="4"/>
        <v>0</v>
      </c>
      <c r="W28" s="224">
        <f t="shared" si="5"/>
        <v>0</v>
      </c>
      <c r="X28" s="224">
        <f t="shared" si="6"/>
        <v>0</v>
      </c>
      <c r="Y28" s="224">
        <f t="shared" si="7"/>
        <v>0</v>
      </c>
      <c r="Z28" s="225" t="str">
        <f t="shared" si="8"/>
        <v/>
      </c>
      <c r="AA28" s="225" t="str">
        <f t="shared" si="9"/>
        <v/>
      </c>
      <c r="AB28" s="225" t="str">
        <f t="shared" si="10"/>
        <v/>
      </c>
      <c r="AC28" s="225" t="str">
        <f t="shared" si="11"/>
        <v/>
      </c>
      <c r="AD28" s="225" t="str">
        <f t="shared" si="12"/>
        <v/>
      </c>
    </row>
    <row r="29" spans="1:30">
      <c r="A29" s="303"/>
      <c r="B29" s="303"/>
      <c r="C29" s="173" t="s">
        <v>133</v>
      </c>
      <c r="D29" s="173"/>
      <c r="E29" s="173"/>
      <c r="F29" s="231">
        <f>IF(F15&gt;0,F26/F$15*100,)</f>
        <v>0</v>
      </c>
      <c r="G29" s="232">
        <f t="shared" ref="G29:O29" si="36">IF(G15&gt;0,G26/G$15*100,)</f>
        <v>0</v>
      </c>
      <c r="H29" s="231">
        <f t="shared" si="36"/>
        <v>0</v>
      </c>
      <c r="I29" s="231">
        <f t="shared" si="36"/>
        <v>0</v>
      </c>
      <c r="J29" s="231">
        <f t="shared" si="36"/>
        <v>0</v>
      </c>
      <c r="K29" s="231">
        <f t="shared" si="36"/>
        <v>0</v>
      </c>
      <c r="L29" s="231">
        <f t="shared" si="36"/>
        <v>0</v>
      </c>
      <c r="M29" s="231">
        <f t="shared" si="36"/>
        <v>0</v>
      </c>
      <c r="N29" s="231">
        <f t="shared" si="36"/>
        <v>0</v>
      </c>
      <c r="O29" s="231">
        <f t="shared" si="36"/>
        <v>0</v>
      </c>
      <c r="P29" s="231">
        <f t="shared" ref="P29:T29" si="37">IF(P15&gt;0,P26/P$15*100,)</f>
        <v>0</v>
      </c>
      <c r="Q29" s="231">
        <f t="shared" si="37"/>
        <v>0</v>
      </c>
      <c r="R29" s="231">
        <f t="shared" si="37"/>
        <v>0</v>
      </c>
      <c r="S29" s="231">
        <f t="shared" si="37"/>
        <v>0</v>
      </c>
      <c r="T29" s="231">
        <f t="shared" si="37"/>
        <v>0</v>
      </c>
      <c r="U29" s="224">
        <f t="shared" si="3"/>
        <v>0</v>
      </c>
      <c r="V29" s="224">
        <f t="shared" si="4"/>
        <v>0</v>
      </c>
      <c r="W29" s="224">
        <f t="shared" si="5"/>
        <v>0</v>
      </c>
      <c r="X29" s="224">
        <f t="shared" si="6"/>
        <v>0</v>
      </c>
      <c r="Y29" s="224">
        <f t="shared" si="7"/>
        <v>0</v>
      </c>
      <c r="Z29" s="225" t="str">
        <f t="shared" si="8"/>
        <v/>
      </c>
      <c r="AA29" s="225" t="str">
        <f t="shared" si="9"/>
        <v/>
      </c>
      <c r="AB29" s="225" t="str">
        <f t="shared" si="10"/>
        <v/>
      </c>
      <c r="AC29" s="225" t="str">
        <f t="shared" si="11"/>
        <v/>
      </c>
      <c r="AD29" s="225" t="str">
        <f t="shared" si="12"/>
        <v/>
      </c>
    </row>
    <row r="30" spans="1:30">
      <c r="A30" s="303" t="s">
        <v>81</v>
      </c>
      <c r="B30" s="303" t="s">
        <v>65</v>
      </c>
      <c r="C30" s="173" t="s">
        <v>62</v>
      </c>
      <c r="D30" s="173"/>
      <c r="E30" s="173">
        <v>210.46100000000001</v>
      </c>
      <c r="F30" s="233">
        <v>193.25200000000001</v>
      </c>
      <c r="G30" s="227">
        <f>SUM(H30:K30)</f>
        <v>181.316</v>
      </c>
      <c r="H30" s="228">
        <v>66.825999999999993</v>
      </c>
      <c r="I30" s="228">
        <v>24.411000000000001</v>
      </c>
      <c r="J30" s="228">
        <v>21.001000000000001</v>
      </c>
      <c r="K30" s="228">
        <v>69.078000000000003</v>
      </c>
      <c r="L30" s="125">
        <f>ROUND(($G$30/$G$18)*L18,3)</f>
        <v>183.13800000000001</v>
      </c>
      <c r="M30" s="125">
        <f t="shared" ref="M30:O30" si="38">ROUND(($G$30/$G$18)*M18,3)</f>
        <v>185.899</v>
      </c>
      <c r="N30" s="125">
        <f t="shared" si="38"/>
        <v>185.803</v>
      </c>
      <c r="O30" s="125">
        <f t="shared" si="38"/>
        <v>187.648</v>
      </c>
      <c r="P30" s="196"/>
      <c r="Q30" s="196"/>
      <c r="R30" s="196"/>
      <c r="S30" s="196"/>
      <c r="T30" s="196"/>
      <c r="U30" s="224">
        <f t="shared" si="3"/>
        <v>181.316</v>
      </c>
      <c r="V30" s="224">
        <f t="shared" si="4"/>
        <v>183.13800000000001</v>
      </c>
      <c r="W30" s="224">
        <f t="shared" si="5"/>
        <v>185.899</v>
      </c>
      <c r="X30" s="224">
        <f t="shared" si="6"/>
        <v>185.803</v>
      </c>
      <c r="Y30" s="224">
        <f t="shared" si="7"/>
        <v>187.648</v>
      </c>
      <c r="Z30" s="225">
        <f t="shared" si="8"/>
        <v>100</v>
      </c>
      <c r="AA30" s="225">
        <f t="shared" si="9"/>
        <v>100</v>
      </c>
      <c r="AB30" s="225">
        <f t="shared" si="10"/>
        <v>100</v>
      </c>
      <c r="AC30" s="225">
        <f t="shared" si="11"/>
        <v>100</v>
      </c>
      <c r="AD30" s="225">
        <f t="shared" si="12"/>
        <v>100</v>
      </c>
    </row>
    <row r="31" spans="1:30">
      <c r="A31" s="303"/>
      <c r="B31" s="303"/>
      <c r="C31" s="173" t="s">
        <v>49</v>
      </c>
      <c r="D31" s="173"/>
      <c r="E31" s="197">
        <f>E30*1.480706</f>
        <v>311.63086546600005</v>
      </c>
      <c r="F31" s="233">
        <f>F30*1.572353</f>
        <v>303.86036195600002</v>
      </c>
      <c r="G31" s="227">
        <f t="shared" ref="G31" si="39">SUM(H31:K31)</f>
        <v>290.58569915999999</v>
      </c>
      <c r="H31" s="125">
        <f>H30*1.52319</f>
        <v>101.78869494</v>
      </c>
      <c r="I31" s="125">
        <f>I30*1.52319</f>
        <v>37.182591090000003</v>
      </c>
      <c r="J31" s="125">
        <f>J30*1.68313</f>
        <v>35.34741313</v>
      </c>
      <c r="K31" s="125">
        <f>ROUNDDOWN(K30*1.68313,3)</f>
        <v>116.267</v>
      </c>
      <c r="L31" s="125">
        <f>L30*1.76638</f>
        <v>323.49130044000003</v>
      </c>
      <c r="M31" s="125">
        <f>ROUNDUP(M30*1.94025,3)</f>
        <v>360.69099999999997</v>
      </c>
      <c r="N31" s="125">
        <f>N30*2.12458</f>
        <v>394.75333774000001</v>
      </c>
      <c r="O31" s="125">
        <f>ROUNDUP(O30*2.32641,3)</f>
        <v>436.54699999999997</v>
      </c>
      <c r="P31" s="196"/>
      <c r="Q31" s="196"/>
      <c r="R31" s="196"/>
      <c r="S31" s="196"/>
      <c r="T31" s="196"/>
      <c r="U31" s="224">
        <f t="shared" si="3"/>
        <v>290.58569915999999</v>
      </c>
      <c r="V31" s="224">
        <f t="shared" si="4"/>
        <v>323.49130044000003</v>
      </c>
      <c r="W31" s="224">
        <f t="shared" si="5"/>
        <v>360.69099999999997</v>
      </c>
      <c r="X31" s="224">
        <f t="shared" si="6"/>
        <v>394.75333774000001</v>
      </c>
      <c r="Y31" s="224">
        <f t="shared" si="7"/>
        <v>436.54699999999997</v>
      </c>
      <c r="Z31" s="225">
        <f t="shared" si="8"/>
        <v>100</v>
      </c>
      <c r="AA31" s="225">
        <f t="shared" si="9"/>
        <v>100</v>
      </c>
      <c r="AB31" s="225">
        <f t="shared" si="10"/>
        <v>100</v>
      </c>
      <c r="AC31" s="225">
        <f t="shared" si="11"/>
        <v>100</v>
      </c>
      <c r="AD31" s="225">
        <f t="shared" si="12"/>
        <v>100</v>
      </c>
    </row>
    <row r="32" spans="1:30">
      <c r="A32" s="303"/>
      <c r="B32" s="303"/>
      <c r="C32" s="173" t="s">
        <v>72</v>
      </c>
      <c r="D32" s="173"/>
      <c r="E32" s="231">
        <f>IF(E10&gt;0,E30/E$10*100,)</f>
        <v>5.9179432671975531</v>
      </c>
      <c r="F32" s="231">
        <f>IF(F10&gt;0,F30/F$10*100,)</f>
        <v>5.5568511023729599</v>
      </c>
      <c r="G32" s="232">
        <f t="shared" ref="G32:O32" si="40">IF(G10&gt;0,G30/G$10*100,)</f>
        <v>5.2474991925410466</v>
      </c>
      <c r="H32" s="231">
        <f t="shared" si="40"/>
        <v>6.4865693865685126</v>
      </c>
      <c r="I32" s="231">
        <f t="shared" si="40"/>
        <v>3.3002198253834778</v>
      </c>
      <c r="J32" s="231">
        <f t="shared" si="40"/>
        <v>3.0987220593421285</v>
      </c>
      <c r="K32" s="231">
        <f t="shared" si="40"/>
        <v>6.8553293094653522</v>
      </c>
      <c r="L32" s="231">
        <f t="shared" si="40"/>
        <v>5.2116320207260962</v>
      </c>
      <c r="M32" s="231">
        <f t="shared" si="40"/>
        <v>5.1763245503339705</v>
      </c>
      <c r="N32" s="231">
        <f t="shared" si="40"/>
        <v>5.0821709217536108</v>
      </c>
      <c r="O32" s="231">
        <f t="shared" si="40"/>
        <v>5.0468407757882456</v>
      </c>
      <c r="P32" s="231">
        <f t="shared" ref="P32:T32" si="41">IF(P10&gt;0,P30/P$10*100,)</f>
        <v>0</v>
      </c>
      <c r="Q32" s="231">
        <f t="shared" si="41"/>
        <v>0</v>
      </c>
      <c r="R32" s="231">
        <f t="shared" si="41"/>
        <v>0</v>
      </c>
      <c r="S32" s="231">
        <f t="shared" si="41"/>
        <v>0</v>
      </c>
      <c r="T32" s="231">
        <f t="shared" si="41"/>
        <v>0</v>
      </c>
      <c r="U32" s="224">
        <f t="shared" si="3"/>
        <v>5.2474991925410466</v>
      </c>
      <c r="V32" s="224">
        <f t="shared" si="4"/>
        <v>5.2116320207260962</v>
      </c>
      <c r="W32" s="224">
        <f t="shared" si="5"/>
        <v>5.1763245503339705</v>
      </c>
      <c r="X32" s="224">
        <f t="shared" si="6"/>
        <v>5.0821709217536108</v>
      </c>
      <c r="Y32" s="224">
        <f t="shared" si="7"/>
        <v>5.0468407757882456</v>
      </c>
      <c r="Z32" s="225">
        <f t="shared" si="8"/>
        <v>100</v>
      </c>
      <c r="AA32" s="225">
        <f t="shared" si="9"/>
        <v>100</v>
      </c>
      <c r="AB32" s="225">
        <f t="shared" si="10"/>
        <v>100</v>
      </c>
      <c r="AC32" s="225">
        <f t="shared" si="11"/>
        <v>100</v>
      </c>
      <c r="AD32" s="225">
        <f t="shared" si="12"/>
        <v>100</v>
      </c>
    </row>
    <row r="33" spans="1:35">
      <c r="A33" s="303"/>
      <c r="B33" s="303"/>
      <c r="C33" s="173" t="s">
        <v>134</v>
      </c>
      <c r="D33" s="173"/>
      <c r="E33" s="231">
        <f>IF(E16&gt;0,E30/E$16*100,)</f>
        <v>6.9471571619317674</v>
      </c>
      <c r="F33" s="231">
        <f>IF(F16&gt;0,F30/F$16*100,)</f>
        <v>6.5892647752291218</v>
      </c>
      <c r="G33" s="232">
        <f t="shared" ref="G33:O33" si="42">IF(G16&gt;0,G30/G$16*100,)</f>
        <v>6.2382806022075989</v>
      </c>
      <c r="H33" s="231">
        <f t="shared" si="42"/>
        <v>7.6998059666410086</v>
      </c>
      <c r="I33" s="231">
        <f t="shared" si="42"/>
        <v>4.0412618948288532</v>
      </c>
      <c r="J33" s="231">
        <f t="shared" si="42"/>
        <v>3.7359153802091303</v>
      </c>
      <c r="K33" s="231">
        <f t="shared" si="42"/>
        <v>7.9178663781245993</v>
      </c>
      <c r="L33" s="231">
        <f t="shared" si="42"/>
        <v>6.1956429073085975</v>
      </c>
      <c r="M33" s="231">
        <f t="shared" si="42"/>
        <v>6.1536663834221521</v>
      </c>
      <c r="N33" s="231">
        <f t="shared" si="42"/>
        <v>6.0417373909220622</v>
      </c>
      <c r="O33" s="231">
        <f t="shared" si="42"/>
        <v>5.9997346212197513</v>
      </c>
      <c r="P33" s="231">
        <f t="shared" ref="P33:T33" si="43">IF(P16&gt;0,P30/P$16*100,)</f>
        <v>0</v>
      </c>
      <c r="Q33" s="231">
        <f t="shared" si="43"/>
        <v>0</v>
      </c>
      <c r="R33" s="231">
        <f t="shared" si="43"/>
        <v>0</v>
      </c>
      <c r="S33" s="231">
        <f t="shared" si="43"/>
        <v>0</v>
      </c>
      <c r="T33" s="231">
        <f t="shared" si="43"/>
        <v>0</v>
      </c>
      <c r="U33" s="224">
        <f t="shared" si="3"/>
        <v>6.2382806022075989</v>
      </c>
      <c r="V33" s="224">
        <f t="shared" si="4"/>
        <v>6.1956429073085975</v>
      </c>
      <c r="W33" s="224">
        <f t="shared" si="5"/>
        <v>6.1536663834221521</v>
      </c>
      <c r="X33" s="224">
        <f t="shared" si="6"/>
        <v>6.0417373909220622</v>
      </c>
      <c r="Y33" s="224">
        <f t="shared" si="7"/>
        <v>5.9997346212197513</v>
      </c>
      <c r="Z33" s="225">
        <f t="shared" si="8"/>
        <v>100</v>
      </c>
      <c r="AA33" s="225">
        <f t="shared" si="9"/>
        <v>100</v>
      </c>
      <c r="AB33" s="225">
        <f t="shared" si="10"/>
        <v>100</v>
      </c>
      <c r="AC33" s="225">
        <f t="shared" si="11"/>
        <v>100</v>
      </c>
      <c r="AD33" s="225">
        <f t="shared" si="12"/>
        <v>100</v>
      </c>
    </row>
    <row r="34" spans="1:35">
      <c r="A34" s="303" t="s">
        <v>82</v>
      </c>
      <c r="B34" s="303" t="s">
        <v>66</v>
      </c>
      <c r="C34" s="177" t="s">
        <v>378</v>
      </c>
      <c r="D34" s="173"/>
      <c r="E34" s="173">
        <v>491.07299999999998</v>
      </c>
      <c r="F34" s="233">
        <v>447.26600000000002</v>
      </c>
      <c r="G34" s="227">
        <f>SUM(H34:K34)</f>
        <v>387.36599999999999</v>
      </c>
      <c r="H34" s="228">
        <f>H18-H22-H30</f>
        <v>150.13999999999999</v>
      </c>
      <c r="I34" s="228">
        <f>I18-I22-I30</f>
        <v>74.211999999999989</v>
      </c>
      <c r="J34" s="228">
        <f>J18-J22-J30</f>
        <v>51.532999999999987</v>
      </c>
      <c r="K34" s="228">
        <f>K18-K22-K30</f>
        <v>111.48099999999997</v>
      </c>
      <c r="L34" s="228">
        <f t="shared" ref="L34:O34" si="44">L18-L22-L30</f>
        <v>391.2589999999999</v>
      </c>
      <c r="M34" s="228">
        <f t="shared" si="44"/>
        <v>397.1579999999999</v>
      </c>
      <c r="N34" s="228">
        <f t="shared" si="44"/>
        <v>396.95100000000002</v>
      </c>
      <c r="O34" s="228">
        <f t="shared" si="44"/>
        <v>400.89499999999987</v>
      </c>
      <c r="P34" s="196"/>
      <c r="Q34" s="196"/>
      <c r="R34" s="196"/>
      <c r="S34" s="196"/>
      <c r="T34" s="196"/>
      <c r="U34" s="224">
        <f t="shared" si="3"/>
        <v>387.36599999999999</v>
      </c>
      <c r="V34" s="224">
        <f t="shared" si="4"/>
        <v>391.2589999999999</v>
      </c>
      <c r="W34" s="224">
        <f t="shared" si="5"/>
        <v>397.1579999999999</v>
      </c>
      <c r="X34" s="224">
        <f t="shared" si="6"/>
        <v>396.95100000000002</v>
      </c>
      <c r="Y34" s="224">
        <f t="shared" si="7"/>
        <v>400.89499999999987</v>
      </c>
      <c r="Z34" s="225">
        <f t="shared" si="8"/>
        <v>100</v>
      </c>
      <c r="AA34" s="225">
        <f t="shared" si="9"/>
        <v>100</v>
      </c>
      <c r="AB34" s="225">
        <f t="shared" si="10"/>
        <v>100</v>
      </c>
      <c r="AC34" s="225">
        <f t="shared" si="11"/>
        <v>100</v>
      </c>
      <c r="AD34" s="225">
        <f t="shared" si="12"/>
        <v>100</v>
      </c>
    </row>
    <row r="35" spans="1:35">
      <c r="A35" s="303"/>
      <c r="B35" s="303"/>
      <c r="C35" s="173" t="s">
        <v>49</v>
      </c>
      <c r="D35" s="173"/>
      <c r="E35" s="197">
        <f>E34*1.480706</f>
        <v>727.13473753799997</v>
      </c>
      <c r="F35" s="233">
        <f>F34*1.572353</f>
        <v>703.26003689799995</v>
      </c>
      <c r="G35" s="227">
        <f t="shared" ref="G35" si="45">SUM(H35:K35)</f>
        <v>616.10446116999992</v>
      </c>
      <c r="H35" s="125">
        <f>H34*1.52319</f>
        <v>228.69174659999999</v>
      </c>
      <c r="I35" s="125">
        <f>I34*1.52319</f>
        <v>113.03897627999999</v>
      </c>
      <c r="J35" s="125">
        <f>J34*1.68313</f>
        <v>86.736738289999977</v>
      </c>
      <c r="K35" s="125">
        <f>ROUNDDOWN(K34*1.68313,3)</f>
        <v>187.637</v>
      </c>
      <c r="L35" s="125">
        <f>ROUNDUP(L34*1.76638,3)</f>
        <v>691.11299999999994</v>
      </c>
      <c r="M35" s="125">
        <f>ROUNDUP(M34*1.94025,3)</f>
        <v>770.58600000000001</v>
      </c>
      <c r="N35" s="125">
        <f>N34*2.12458</f>
        <v>843.35415558</v>
      </c>
      <c r="O35" s="125">
        <f>ROUNDUP(O34*2.32641,3)</f>
        <v>932.64699999999993</v>
      </c>
      <c r="P35" s="196"/>
      <c r="Q35" s="196"/>
      <c r="R35" s="196"/>
      <c r="S35" s="196"/>
      <c r="T35" s="196"/>
      <c r="U35" s="224">
        <f t="shared" si="3"/>
        <v>616.10446116999992</v>
      </c>
      <c r="V35" s="224">
        <f t="shared" si="4"/>
        <v>691.11299999999994</v>
      </c>
      <c r="W35" s="224">
        <f t="shared" si="5"/>
        <v>770.58600000000001</v>
      </c>
      <c r="X35" s="224">
        <f t="shared" si="6"/>
        <v>843.35415558</v>
      </c>
      <c r="Y35" s="224">
        <f t="shared" si="7"/>
        <v>932.64699999999993</v>
      </c>
      <c r="Z35" s="225">
        <f t="shared" si="8"/>
        <v>100</v>
      </c>
      <c r="AA35" s="225">
        <f t="shared" si="9"/>
        <v>100</v>
      </c>
      <c r="AB35" s="225">
        <f t="shared" si="10"/>
        <v>100</v>
      </c>
      <c r="AC35" s="225">
        <f t="shared" si="11"/>
        <v>100</v>
      </c>
      <c r="AD35" s="225">
        <f t="shared" si="12"/>
        <v>100</v>
      </c>
    </row>
    <row r="36" spans="1:35">
      <c r="A36" s="303"/>
      <c r="B36" s="303"/>
      <c r="C36" s="173" t="s">
        <v>73</v>
      </c>
      <c r="D36" s="173"/>
      <c r="E36" s="234">
        <f>E34/E11</f>
        <v>0.24802142667384525</v>
      </c>
      <c r="F36" s="231">
        <f>IF(F11&gt;0,F34/F$11*100,)</f>
        <v>23.154548819535581</v>
      </c>
      <c r="G36" s="230">
        <f t="shared" ref="G36:O36" si="46">IF(G11&gt;0,G34/G$11*100,)</f>
        <v>20.305638742827007</v>
      </c>
      <c r="H36" s="231">
        <f t="shared" si="46"/>
        <v>26.345296397744839</v>
      </c>
      <c r="I36" s="231">
        <f t="shared" si="46"/>
        <v>18.410548381895083</v>
      </c>
      <c r="J36" s="231">
        <f t="shared" si="46"/>
        <v>14.100280456939595</v>
      </c>
      <c r="K36" s="231">
        <f t="shared" si="46"/>
        <v>19.585076965780875</v>
      </c>
      <c r="L36" s="231">
        <f t="shared" si="46"/>
        <v>20.166877393875694</v>
      </c>
      <c r="M36" s="231">
        <f t="shared" si="46"/>
        <v>20.030260390661638</v>
      </c>
      <c r="N36" s="231">
        <f t="shared" si="46"/>
        <v>19.665837660021403</v>
      </c>
      <c r="O36" s="231">
        <f t="shared" si="46"/>
        <v>19.529236737831457</v>
      </c>
      <c r="P36" s="231">
        <f t="shared" ref="P36:T36" si="47">IF(P11&gt;0,P34/P$11*100,)</f>
        <v>0</v>
      </c>
      <c r="Q36" s="231">
        <f t="shared" si="47"/>
        <v>0</v>
      </c>
      <c r="R36" s="231">
        <f t="shared" si="47"/>
        <v>0</v>
      </c>
      <c r="S36" s="231">
        <f t="shared" si="47"/>
        <v>0</v>
      </c>
      <c r="T36" s="231">
        <f t="shared" si="47"/>
        <v>0</v>
      </c>
      <c r="U36" s="224">
        <f t="shared" si="3"/>
        <v>20.305638742827007</v>
      </c>
      <c r="V36" s="224">
        <f t="shared" si="4"/>
        <v>20.166877393875694</v>
      </c>
      <c r="W36" s="224">
        <f t="shared" si="5"/>
        <v>20.030260390661638</v>
      </c>
      <c r="X36" s="224">
        <f t="shared" si="6"/>
        <v>19.665837660021403</v>
      </c>
      <c r="Y36" s="224">
        <f t="shared" si="7"/>
        <v>19.529236737831457</v>
      </c>
      <c r="Z36" s="225">
        <f t="shared" si="8"/>
        <v>100</v>
      </c>
      <c r="AA36" s="225">
        <f t="shared" si="9"/>
        <v>100</v>
      </c>
      <c r="AB36" s="225">
        <f t="shared" si="10"/>
        <v>100</v>
      </c>
      <c r="AC36" s="225">
        <f t="shared" si="11"/>
        <v>100</v>
      </c>
      <c r="AD36" s="225">
        <f t="shared" si="12"/>
        <v>100</v>
      </c>
    </row>
    <row r="37" spans="1:35">
      <c r="A37" s="303"/>
      <c r="B37" s="303"/>
      <c r="C37" s="173" t="s">
        <v>135</v>
      </c>
      <c r="D37" s="173"/>
      <c r="E37" s="234">
        <f>E34/E17</f>
        <v>0.28576657563454316</v>
      </c>
      <c r="F37" s="231">
        <f>IF(F17&gt;0,F34/F$17*100,)</f>
        <v>26.810972173933894</v>
      </c>
      <c r="G37" s="230">
        <f t="shared" ref="G37:O37" si="48">IF(G17&gt;0,G34/G$17*100,)</f>
        <v>23.588019839058834</v>
      </c>
      <c r="H37" s="231">
        <f t="shared" si="48"/>
        <v>30.453619790187659</v>
      </c>
      <c r="I37" s="231">
        <f t="shared" si="48"/>
        <v>21.624299217921369</v>
      </c>
      <c r="J37" s="231">
        <f t="shared" si="48"/>
        <v>16.590955188033828</v>
      </c>
      <c r="K37" s="231">
        <f t="shared" si="48"/>
        <v>22.502957170482386</v>
      </c>
      <c r="L37" s="231">
        <f t="shared" si="48"/>
        <v>23.426816906198482</v>
      </c>
      <c r="M37" s="231">
        <f t="shared" si="48"/>
        <v>23.268122581839563</v>
      </c>
      <c r="N37" s="231">
        <f t="shared" si="48"/>
        <v>22.844799058931319</v>
      </c>
      <c r="O37" s="231">
        <f t="shared" si="48"/>
        <v>22.686104488667837</v>
      </c>
      <c r="P37" s="231">
        <f t="shared" ref="P37:T37" si="49">IF(P17&gt;0,P34/P$17*100,)</f>
        <v>0</v>
      </c>
      <c r="Q37" s="231">
        <f t="shared" si="49"/>
        <v>0</v>
      </c>
      <c r="R37" s="231">
        <f t="shared" si="49"/>
        <v>0</v>
      </c>
      <c r="S37" s="231">
        <f t="shared" si="49"/>
        <v>0</v>
      </c>
      <c r="T37" s="231">
        <f t="shared" si="49"/>
        <v>0</v>
      </c>
      <c r="U37" s="224">
        <f t="shared" si="3"/>
        <v>23.588019839058834</v>
      </c>
      <c r="V37" s="224">
        <f t="shared" si="4"/>
        <v>23.426816906198482</v>
      </c>
      <c r="W37" s="224">
        <f t="shared" si="5"/>
        <v>23.268122581839563</v>
      </c>
      <c r="X37" s="224">
        <f t="shared" si="6"/>
        <v>22.844799058931319</v>
      </c>
      <c r="Y37" s="224">
        <f t="shared" si="7"/>
        <v>22.686104488667837</v>
      </c>
      <c r="Z37" s="225">
        <f t="shared" si="8"/>
        <v>100</v>
      </c>
      <c r="AA37" s="225">
        <f t="shared" si="9"/>
        <v>100</v>
      </c>
      <c r="AB37" s="225">
        <f t="shared" si="10"/>
        <v>100</v>
      </c>
      <c r="AC37" s="225">
        <f t="shared" si="11"/>
        <v>100</v>
      </c>
      <c r="AD37" s="225">
        <f t="shared" si="12"/>
        <v>100</v>
      </c>
    </row>
    <row r="38" spans="1:35" ht="24.75" customHeight="1">
      <c r="A38" s="341">
        <v>5</v>
      </c>
      <c r="B38" s="329" t="s">
        <v>115</v>
      </c>
      <c r="C38" s="177" t="s">
        <v>378</v>
      </c>
      <c r="D38" s="173"/>
      <c r="E38" s="197">
        <f>E40+E42+E44</f>
        <v>6.1400000000000006</v>
      </c>
      <c r="F38" s="197">
        <f>F40+F42+F44</f>
        <v>14.809999999999999</v>
      </c>
      <c r="G38" s="235">
        <f>SUM(H38:K38)</f>
        <v>14.75</v>
      </c>
      <c r="H38" s="197">
        <f t="shared" ref="H38:O38" si="50">H40+H42+H44</f>
        <v>6.0050000000000008</v>
      </c>
      <c r="I38" s="197">
        <f t="shared" si="50"/>
        <v>2.234</v>
      </c>
      <c r="J38" s="197">
        <f t="shared" si="50"/>
        <v>1.264</v>
      </c>
      <c r="K38" s="197">
        <f t="shared" si="50"/>
        <v>5.2469999999999999</v>
      </c>
      <c r="L38" s="197">
        <f t="shared" si="50"/>
        <v>14.649999999999999</v>
      </c>
      <c r="M38" s="197">
        <f t="shared" si="50"/>
        <v>14.5</v>
      </c>
      <c r="N38" s="197">
        <f t="shared" si="50"/>
        <v>14.29</v>
      </c>
      <c r="O38" s="197">
        <f t="shared" si="50"/>
        <v>14.07</v>
      </c>
      <c r="P38" s="196"/>
      <c r="Q38" s="196"/>
      <c r="R38" s="196"/>
      <c r="S38" s="196"/>
      <c r="T38" s="196"/>
      <c r="U38" s="224">
        <f>G38-P38</f>
        <v>14.75</v>
      </c>
      <c r="V38" s="224">
        <f t="shared" si="4"/>
        <v>14.649999999999999</v>
      </c>
      <c r="W38" s="224">
        <f t="shared" si="5"/>
        <v>14.5</v>
      </c>
      <c r="X38" s="224">
        <f t="shared" si="6"/>
        <v>14.29</v>
      </c>
      <c r="Y38" s="224">
        <f t="shared" si="7"/>
        <v>14.07</v>
      </c>
      <c r="Z38" s="225">
        <f t="shared" si="8"/>
        <v>100</v>
      </c>
      <c r="AA38" s="225">
        <f t="shared" si="9"/>
        <v>100</v>
      </c>
      <c r="AB38" s="225">
        <f t="shared" si="10"/>
        <v>100</v>
      </c>
      <c r="AC38" s="225">
        <f t="shared" si="11"/>
        <v>100</v>
      </c>
      <c r="AD38" s="225">
        <f t="shared" si="12"/>
        <v>100</v>
      </c>
      <c r="AE38" s="201"/>
      <c r="AF38" s="201"/>
      <c r="AG38" s="201"/>
      <c r="AH38" s="201"/>
      <c r="AI38" s="201"/>
    </row>
    <row r="39" spans="1:35" ht="37.5" customHeight="1">
      <c r="A39" s="342"/>
      <c r="B39" s="330"/>
      <c r="C39" s="173" t="s">
        <v>136</v>
      </c>
      <c r="D39" s="173"/>
      <c r="E39" s="196">
        <f>E38*100/E18</f>
        <v>0.77118917622175076</v>
      </c>
      <c r="F39" s="231">
        <f>IF(F18&gt;0,F38/F$18*100,)</f>
        <v>1.8059455972607181</v>
      </c>
      <c r="G39" s="231">
        <f t="shared" ref="G39:T39" si="51">IF(G18&gt;0,G38/G$18*100,)</f>
        <v>1.9783654007363545</v>
      </c>
      <c r="H39" s="231">
        <f t="shared" si="51"/>
        <v>2.2637910300343438</v>
      </c>
      <c r="I39" s="231">
        <f t="shared" si="51"/>
        <v>1.6587836081884806</v>
      </c>
      <c r="J39" s="231">
        <f t="shared" si="51"/>
        <v>1.1561328089271015</v>
      </c>
      <c r="K39" s="231">
        <f t="shared" si="51"/>
        <v>2.2205294229670538</v>
      </c>
      <c r="L39" s="231">
        <f t="shared" si="51"/>
        <v>1.9454012838320551</v>
      </c>
      <c r="M39" s="231">
        <f t="shared" si="51"/>
        <v>1.8968853143138966</v>
      </c>
      <c r="N39" s="231">
        <f t="shared" si="51"/>
        <v>1.8703845741046627</v>
      </c>
      <c r="O39" s="231">
        <f t="shared" si="51"/>
        <v>1.8234765805731707</v>
      </c>
      <c r="P39" s="231">
        <f t="shared" si="51"/>
        <v>0</v>
      </c>
      <c r="Q39" s="231">
        <f t="shared" si="51"/>
        <v>0</v>
      </c>
      <c r="R39" s="231">
        <f t="shared" si="51"/>
        <v>0</v>
      </c>
      <c r="S39" s="231">
        <f t="shared" si="51"/>
        <v>0</v>
      </c>
      <c r="T39" s="231">
        <f t="shared" si="51"/>
        <v>0</v>
      </c>
      <c r="U39" s="224">
        <f t="shared" si="3"/>
        <v>1.9783654007363545</v>
      </c>
      <c r="V39" s="224">
        <f t="shared" si="4"/>
        <v>1.9454012838320551</v>
      </c>
      <c r="W39" s="224">
        <f t="shared" si="5"/>
        <v>1.8968853143138966</v>
      </c>
      <c r="X39" s="224">
        <f t="shared" si="6"/>
        <v>1.8703845741046627</v>
      </c>
      <c r="Y39" s="224">
        <f t="shared" si="7"/>
        <v>1.8234765805731707</v>
      </c>
      <c r="Z39" s="225">
        <f t="shared" si="8"/>
        <v>100</v>
      </c>
      <c r="AA39" s="225">
        <f t="shared" si="9"/>
        <v>100</v>
      </c>
      <c r="AB39" s="225">
        <f t="shared" si="10"/>
        <v>100</v>
      </c>
      <c r="AC39" s="225">
        <f t="shared" si="11"/>
        <v>100</v>
      </c>
      <c r="AD39" s="225">
        <f t="shared" si="12"/>
        <v>100</v>
      </c>
    </row>
    <row r="40" spans="1:35">
      <c r="A40" s="341" t="s">
        <v>83</v>
      </c>
      <c r="B40" s="329" t="s">
        <v>63</v>
      </c>
      <c r="C40" s="177" t="s">
        <v>378</v>
      </c>
      <c r="D40" s="173"/>
      <c r="E40" s="197">
        <v>3.1640000000000001</v>
      </c>
      <c r="F40" s="228">
        <v>6.6550000000000002</v>
      </c>
      <c r="G40" s="235">
        <f>SUM(H40:K40)</f>
        <v>6.617</v>
      </c>
      <c r="H40" s="228">
        <v>2.5430000000000001</v>
      </c>
      <c r="I40" s="228">
        <v>1.026</v>
      </c>
      <c r="J40" s="228">
        <v>0.81100000000000005</v>
      </c>
      <c r="K40" s="228">
        <v>2.2370000000000001</v>
      </c>
      <c r="L40" s="228">
        <v>6.61</v>
      </c>
      <c r="M40" s="228">
        <v>6.52</v>
      </c>
      <c r="N40" s="228">
        <v>6.46</v>
      </c>
      <c r="O40" s="228">
        <v>6.37</v>
      </c>
      <c r="P40" s="196"/>
      <c r="Q40" s="196"/>
      <c r="R40" s="196"/>
      <c r="S40" s="196"/>
      <c r="T40" s="196"/>
      <c r="U40" s="224">
        <f t="shared" si="3"/>
        <v>6.617</v>
      </c>
      <c r="V40" s="224">
        <f t="shared" si="4"/>
        <v>6.61</v>
      </c>
      <c r="W40" s="224">
        <f t="shared" si="5"/>
        <v>6.52</v>
      </c>
      <c r="X40" s="224">
        <f t="shared" si="6"/>
        <v>6.46</v>
      </c>
      <c r="Y40" s="224">
        <f t="shared" si="7"/>
        <v>6.37</v>
      </c>
      <c r="Z40" s="225">
        <f t="shared" si="8"/>
        <v>100</v>
      </c>
      <c r="AA40" s="225">
        <f t="shared" si="9"/>
        <v>100</v>
      </c>
      <c r="AB40" s="225">
        <f t="shared" si="10"/>
        <v>100</v>
      </c>
      <c r="AC40" s="225">
        <f t="shared" si="11"/>
        <v>100</v>
      </c>
      <c r="AD40" s="225">
        <f t="shared" si="12"/>
        <v>100</v>
      </c>
      <c r="AF40" s="201"/>
      <c r="AG40" s="236"/>
    </row>
    <row r="41" spans="1:35">
      <c r="A41" s="342"/>
      <c r="B41" s="330"/>
      <c r="C41" s="173" t="s">
        <v>137</v>
      </c>
      <c r="D41" s="173"/>
      <c r="E41" s="197"/>
      <c r="F41" s="231">
        <f>IF(F22&gt;0,F40/F$22*100,)</f>
        <v>3.7064678002350311</v>
      </c>
      <c r="G41" s="231">
        <f t="shared" ref="G41:T41" si="52">IF(G22&gt;0,G40/G$22*100,)</f>
        <v>3.7408908713669482</v>
      </c>
      <c r="H41" s="231">
        <f t="shared" si="52"/>
        <v>5.2653373915564119</v>
      </c>
      <c r="I41" s="231">
        <f t="shared" si="52"/>
        <v>2.8457314028956562</v>
      </c>
      <c r="J41" s="231">
        <f t="shared" si="52"/>
        <v>2.2040439178171543</v>
      </c>
      <c r="K41" s="231">
        <f t="shared" si="52"/>
        <v>4.0135639443088849</v>
      </c>
      <c r="L41" s="231">
        <f t="shared" si="52"/>
        <v>3.699744208305114</v>
      </c>
      <c r="M41" s="231">
        <f t="shared" si="52"/>
        <v>3.5951784906867226</v>
      </c>
      <c r="N41" s="231">
        <f t="shared" si="52"/>
        <v>3.5639412997903568</v>
      </c>
      <c r="O41" s="231">
        <f t="shared" si="52"/>
        <v>3.479733420736371</v>
      </c>
      <c r="P41" s="231">
        <f t="shared" si="52"/>
        <v>0</v>
      </c>
      <c r="Q41" s="231">
        <f t="shared" si="52"/>
        <v>0</v>
      </c>
      <c r="R41" s="231">
        <f t="shared" si="52"/>
        <v>0</v>
      </c>
      <c r="S41" s="231">
        <f t="shared" si="52"/>
        <v>0</v>
      </c>
      <c r="T41" s="231">
        <f t="shared" si="52"/>
        <v>0</v>
      </c>
      <c r="U41" s="224">
        <f t="shared" si="3"/>
        <v>3.7408908713669482</v>
      </c>
      <c r="V41" s="224">
        <f t="shared" si="4"/>
        <v>3.699744208305114</v>
      </c>
      <c r="W41" s="224">
        <f t="shared" si="5"/>
        <v>3.5951784906867226</v>
      </c>
      <c r="X41" s="224">
        <f t="shared" si="6"/>
        <v>3.5639412997903568</v>
      </c>
      <c r="Y41" s="224">
        <f t="shared" si="7"/>
        <v>3.479733420736371</v>
      </c>
      <c r="Z41" s="225">
        <f t="shared" si="8"/>
        <v>100</v>
      </c>
      <c r="AA41" s="225">
        <f t="shared" si="9"/>
        <v>100</v>
      </c>
      <c r="AB41" s="225">
        <f t="shared" si="10"/>
        <v>100</v>
      </c>
      <c r="AC41" s="225">
        <f t="shared" si="11"/>
        <v>100</v>
      </c>
      <c r="AD41" s="225">
        <f t="shared" si="12"/>
        <v>100</v>
      </c>
    </row>
    <row r="42" spans="1:35">
      <c r="A42" s="341" t="s">
        <v>84</v>
      </c>
      <c r="B42" s="341" t="s">
        <v>64</v>
      </c>
      <c r="C42" s="177" t="s">
        <v>378</v>
      </c>
      <c r="D42" s="173"/>
      <c r="E42" s="173"/>
      <c r="F42" s="233"/>
      <c r="G42" s="237">
        <f>SUM(H42:K42)</f>
        <v>0</v>
      </c>
      <c r="H42" s="233"/>
      <c r="I42" s="233"/>
      <c r="J42" s="233"/>
      <c r="K42" s="233"/>
      <c r="L42" s="233"/>
      <c r="M42" s="233"/>
      <c r="N42" s="233"/>
      <c r="O42" s="233"/>
      <c r="P42" s="196"/>
      <c r="Q42" s="196"/>
      <c r="R42" s="196"/>
      <c r="S42" s="196"/>
      <c r="T42" s="196"/>
      <c r="U42" s="224">
        <f t="shared" si="3"/>
        <v>0</v>
      </c>
      <c r="V42" s="224">
        <f t="shared" si="4"/>
        <v>0</v>
      </c>
      <c r="W42" s="224">
        <f t="shared" si="5"/>
        <v>0</v>
      </c>
      <c r="X42" s="224">
        <f t="shared" si="6"/>
        <v>0</v>
      </c>
      <c r="Y42" s="224">
        <f t="shared" si="7"/>
        <v>0</v>
      </c>
      <c r="Z42" s="225" t="str">
        <f t="shared" si="8"/>
        <v/>
      </c>
      <c r="AA42" s="225" t="str">
        <f t="shared" si="9"/>
        <v/>
      </c>
      <c r="AB42" s="225" t="str">
        <f t="shared" si="10"/>
        <v/>
      </c>
      <c r="AC42" s="225" t="str">
        <f t="shared" si="11"/>
        <v/>
      </c>
      <c r="AD42" s="225" t="str">
        <f t="shared" si="12"/>
        <v/>
      </c>
    </row>
    <row r="43" spans="1:35">
      <c r="A43" s="342"/>
      <c r="B43" s="342"/>
      <c r="C43" s="173" t="s">
        <v>138</v>
      </c>
      <c r="D43" s="173"/>
      <c r="E43" s="173"/>
      <c r="F43" s="231">
        <f>IF(F26&gt;0,F42/F$26*100,)</f>
        <v>0</v>
      </c>
      <c r="G43" s="231">
        <f t="shared" ref="G43:T43" si="53">IF(G26&gt;0,G42/G$26*100,)</f>
        <v>0</v>
      </c>
      <c r="H43" s="231">
        <f t="shared" si="53"/>
        <v>0</v>
      </c>
      <c r="I43" s="231">
        <f t="shared" si="53"/>
        <v>0</v>
      </c>
      <c r="J43" s="231">
        <f t="shared" si="53"/>
        <v>0</v>
      </c>
      <c r="K43" s="231">
        <f t="shared" si="53"/>
        <v>0</v>
      </c>
      <c r="L43" s="231">
        <f t="shared" si="53"/>
        <v>0</v>
      </c>
      <c r="M43" s="231">
        <f t="shared" si="53"/>
        <v>0</v>
      </c>
      <c r="N43" s="231">
        <f t="shared" si="53"/>
        <v>0</v>
      </c>
      <c r="O43" s="231">
        <f t="shared" si="53"/>
        <v>0</v>
      </c>
      <c r="P43" s="231">
        <f t="shared" si="53"/>
        <v>0</v>
      </c>
      <c r="Q43" s="231">
        <f t="shared" si="53"/>
        <v>0</v>
      </c>
      <c r="R43" s="231">
        <f t="shared" si="53"/>
        <v>0</v>
      </c>
      <c r="S43" s="231">
        <f t="shared" si="53"/>
        <v>0</v>
      </c>
      <c r="T43" s="231">
        <f t="shared" si="53"/>
        <v>0</v>
      </c>
      <c r="U43" s="224">
        <f t="shared" si="3"/>
        <v>0</v>
      </c>
      <c r="V43" s="224">
        <f t="shared" si="4"/>
        <v>0</v>
      </c>
      <c r="W43" s="224">
        <f t="shared" si="5"/>
        <v>0</v>
      </c>
      <c r="X43" s="224">
        <f t="shared" si="6"/>
        <v>0</v>
      </c>
      <c r="Y43" s="224">
        <f t="shared" si="7"/>
        <v>0</v>
      </c>
      <c r="Z43" s="225" t="str">
        <f t="shared" si="8"/>
        <v/>
      </c>
      <c r="AA43" s="225" t="str">
        <f t="shared" si="9"/>
        <v/>
      </c>
      <c r="AB43" s="225" t="str">
        <f t="shared" si="10"/>
        <v/>
      </c>
      <c r="AC43" s="225" t="str">
        <f t="shared" si="11"/>
        <v/>
      </c>
      <c r="AD43" s="225" t="str">
        <f t="shared" si="12"/>
        <v/>
      </c>
    </row>
    <row r="44" spans="1:35">
      <c r="A44" s="341" t="s">
        <v>85</v>
      </c>
      <c r="B44" s="341" t="s">
        <v>65</v>
      </c>
      <c r="C44" s="177" t="s">
        <v>378</v>
      </c>
      <c r="D44" s="173"/>
      <c r="E44" s="197">
        <v>2.976</v>
      </c>
      <c r="F44" s="228">
        <v>8.1549999999999994</v>
      </c>
      <c r="G44" s="235">
        <f>SUM(H44:K44)</f>
        <v>8.1329999999999991</v>
      </c>
      <c r="H44" s="228">
        <v>3.4620000000000002</v>
      </c>
      <c r="I44" s="228">
        <v>1.208</v>
      </c>
      <c r="J44" s="228">
        <v>0.45300000000000001</v>
      </c>
      <c r="K44" s="228">
        <v>3.01</v>
      </c>
      <c r="L44" s="228">
        <v>8.0399999999999991</v>
      </c>
      <c r="M44" s="228">
        <v>7.98</v>
      </c>
      <c r="N44" s="228">
        <v>7.83</v>
      </c>
      <c r="O44" s="228">
        <v>7.7</v>
      </c>
      <c r="P44" s="196"/>
      <c r="Q44" s="196"/>
      <c r="R44" s="196"/>
      <c r="S44" s="196"/>
      <c r="T44" s="196"/>
      <c r="U44" s="224">
        <f t="shared" si="3"/>
        <v>8.1329999999999991</v>
      </c>
      <c r="V44" s="224">
        <f t="shared" si="4"/>
        <v>8.0399999999999991</v>
      </c>
      <c r="W44" s="224">
        <f t="shared" si="5"/>
        <v>7.98</v>
      </c>
      <c r="X44" s="224">
        <f t="shared" si="6"/>
        <v>7.83</v>
      </c>
      <c r="Y44" s="224">
        <f t="shared" si="7"/>
        <v>7.7</v>
      </c>
      <c r="Z44" s="225">
        <f t="shared" si="8"/>
        <v>100</v>
      </c>
      <c r="AA44" s="225">
        <f t="shared" si="9"/>
        <v>100</v>
      </c>
      <c r="AB44" s="225">
        <f t="shared" si="10"/>
        <v>100</v>
      </c>
      <c r="AC44" s="225">
        <f t="shared" si="11"/>
        <v>100</v>
      </c>
      <c r="AD44" s="225">
        <f t="shared" si="12"/>
        <v>100</v>
      </c>
    </row>
    <row r="45" spans="1:35">
      <c r="A45" s="342"/>
      <c r="B45" s="342"/>
      <c r="C45" s="173" t="s">
        <v>139</v>
      </c>
      <c r="D45" s="173"/>
      <c r="E45" s="197"/>
      <c r="F45" s="231">
        <f>IF(F30&gt;0,F44/F$30*100,)</f>
        <v>4.219878707594229</v>
      </c>
      <c r="G45" s="231">
        <f t="shared" ref="G45:T45" si="54">IF(G30&gt;0,G44/G$30*100,)</f>
        <v>4.4855390588806276</v>
      </c>
      <c r="H45" s="231">
        <f t="shared" si="54"/>
        <v>5.1806183222099191</v>
      </c>
      <c r="I45" s="231">
        <f t="shared" si="54"/>
        <v>4.9485887509729221</v>
      </c>
      <c r="J45" s="231">
        <f t="shared" si="54"/>
        <v>2.1570401409456692</v>
      </c>
      <c r="K45" s="231">
        <f t="shared" si="54"/>
        <v>4.3573930918671646</v>
      </c>
      <c r="L45" s="231">
        <f t="shared" si="54"/>
        <v>4.3901320315827403</v>
      </c>
      <c r="M45" s="231">
        <f t="shared" si="54"/>
        <v>4.292653537673683</v>
      </c>
      <c r="N45" s="231">
        <f t="shared" si="54"/>
        <v>4.2141407835180269</v>
      </c>
      <c r="O45" s="231">
        <f t="shared" si="54"/>
        <v>4.1034276944065491</v>
      </c>
      <c r="P45" s="231">
        <f t="shared" si="54"/>
        <v>0</v>
      </c>
      <c r="Q45" s="231">
        <f t="shared" si="54"/>
        <v>0</v>
      </c>
      <c r="R45" s="231">
        <f t="shared" si="54"/>
        <v>0</v>
      </c>
      <c r="S45" s="231">
        <f t="shared" si="54"/>
        <v>0</v>
      </c>
      <c r="T45" s="231">
        <f t="shared" si="54"/>
        <v>0</v>
      </c>
      <c r="U45" s="224">
        <f t="shared" si="3"/>
        <v>4.4855390588806276</v>
      </c>
      <c r="V45" s="224">
        <f t="shared" si="4"/>
        <v>4.3901320315827403</v>
      </c>
      <c r="W45" s="224">
        <f t="shared" si="5"/>
        <v>4.292653537673683</v>
      </c>
      <c r="X45" s="224">
        <f t="shared" si="6"/>
        <v>4.2141407835180269</v>
      </c>
      <c r="Y45" s="224">
        <f t="shared" si="7"/>
        <v>4.1034276944065491</v>
      </c>
      <c r="Z45" s="225">
        <f t="shared" si="8"/>
        <v>100</v>
      </c>
      <c r="AA45" s="225">
        <f t="shared" si="9"/>
        <v>100</v>
      </c>
      <c r="AB45" s="225">
        <f t="shared" si="10"/>
        <v>100</v>
      </c>
      <c r="AC45" s="225">
        <f t="shared" si="11"/>
        <v>100</v>
      </c>
      <c r="AD45" s="225">
        <f t="shared" si="12"/>
        <v>100</v>
      </c>
    </row>
    <row r="46" spans="1:35" ht="36.75" customHeight="1">
      <c r="A46" s="337">
        <v>6</v>
      </c>
      <c r="B46" s="323" t="s">
        <v>222</v>
      </c>
      <c r="C46" s="172" t="s">
        <v>49</v>
      </c>
      <c r="D46" s="172"/>
      <c r="E46" s="172">
        <v>56.03</v>
      </c>
      <c r="F46" s="226">
        <f>F50+F54+F58+F61</f>
        <v>33.26</v>
      </c>
      <c r="G46" s="226">
        <f t="shared" ref="G46:S46" si="55">G50+G54+G58+G61</f>
        <v>37.346790135039996</v>
      </c>
      <c r="H46" s="226">
        <f t="shared" si="55"/>
        <v>14.960326355039999</v>
      </c>
      <c r="I46" s="226">
        <f t="shared" si="55"/>
        <v>7.3518503900000001</v>
      </c>
      <c r="J46" s="226">
        <f t="shared" si="55"/>
        <v>2.4570455999999998</v>
      </c>
      <c r="K46" s="226">
        <f t="shared" si="55"/>
        <v>12.57756779</v>
      </c>
      <c r="L46" s="226">
        <f t="shared" si="55"/>
        <v>41.291665140000006</v>
      </c>
      <c r="M46" s="226">
        <f t="shared" si="55"/>
        <v>44.517891500000005</v>
      </c>
      <c r="N46" s="226">
        <f t="shared" si="55"/>
        <v>47.415714915999999</v>
      </c>
      <c r="O46" s="226">
        <f t="shared" si="55"/>
        <v>50.481595140000003</v>
      </c>
      <c r="P46" s="226">
        <f t="shared" si="55"/>
        <v>0</v>
      </c>
      <c r="Q46" s="226">
        <f t="shared" si="55"/>
        <v>0</v>
      </c>
      <c r="R46" s="226">
        <f t="shared" si="55"/>
        <v>0</v>
      </c>
      <c r="S46" s="226">
        <f t="shared" si="55"/>
        <v>0</v>
      </c>
      <c r="T46" s="226">
        <f t="shared" ref="T46" si="56">T50+T54+T58+T61</f>
        <v>0</v>
      </c>
      <c r="U46" s="224">
        <f t="shared" si="3"/>
        <v>37.346790135039996</v>
      </c>
      <c r="V46" s="224">
        <f t="shared" si="4"/>
        <v>41.291665140000006</v>
      </c>
      <c r="W46" s="224">
        <f t="shared" si="5"/>
        <v>44.517891500000005</v>
      </c>
      <c r="X46" s="224">
        <f t="shared" si="6"/>
        <v>47.415714915999999</v>
      </c>
      <c r="Y46" s="224">
        <f t="shared" si="7"/>
        <v>50.481595140000003</v>
      </c>
      <c r="Z46" s="225">
        <f t="shared" si="8"/>
        <v>100</v>
      </c>
      <c r="AA46" s="225">
        <f t="shared" si="9"/>
        <v>100</v>
      </c>
      <c r="AB46" s="225">
        <f t="shared" si="10"/>
        <v>100</v>
      </c>
      <c r="AC46" s="225">
        <f t="shared" si="11"/>
        <v>100</v>
      </c>
      <c r="AD46" s="225">
        <f t="shared" si="12"/>
        <v>100</v>
      </c>
    </row>
    <row r="47" spans="1:35" ht="87" customHeight="1">
      <c r="A47" s="338"/>
      <c r="B47" s="324"/>
      <c r="C47" s="172" t="s">
        <v>218</v>
      </c>
      <c r="D47" s="172"/>
      <c r="E47" s="238">
        <v>4.4425989829999999</v>
      </c>
      <c r="F47" s="226">
        <f>F49+F53+F57+F60</f>
        <v>1.7067806139999999</v>
      </c>
      <c r="G47" s="226">
        <f t="shared" ref="G47:S47" si="57">G49+G53+G57+G60</f>
        <v>1.6948160299999999</v>
      </c>
      <c r="H47" s="226">
        <f t="shared" si="57"/>
        <v>0.68866278000000003</v>
      </c>
      <c r="I47" s="226">
        <f t="shared" si="57"/>
        <v>0.36592752899999997</v>
      </c>
      <c r="J47" s="226">
        <f t="shared" si="57"/>
        <v>8.7975539999999991E-2</v>
      </c>
      <c r="K47" s="226">
        <f t="shared" si="57"/>
        <v>0.55225018100000001</v>
      </c>
      <c r="L47" s="226">
        <f t="shared" si="57"/>
        <v>1.6863186376399999</v>
      </c>
      <c r="M47" s="226">
        <f t="shared" si="57"/>
        <v>1.6625357336036002</v>
      </c>
      <c r="N47" s="226">
        <f t="shared" si="57"/>
        <v>1.637562658607564</v>
      </c>
      <c r="O47" s="226">
        <f t="shared" si="57"/>
        <v>1.6137993143614882</v>
      </c>
      <c r="P47" s="226">
        <f t="shared" si="57"/>
        <v>0</v>
      </c>
      <c r="Q47" s="226">
        <f t="shared" si="57"/>
        <v>0</v>
      </c>
      <c r="R47" s="226">
        <f t="shared" si="57"/>
        <v>0</v>
      </c>
      <c r="S47" s="226">
        <f t="shared" si="57"/>
        <v>0</v>
      </c>
      <c r="T47" s="226">
        <f t="shared" ref="T47" si="58">T49+T53+T57+T60</f>
        <v>0</v>
      </c>
      <c r="U47" s="224">
        <f t="shared" si="3"/>
        <v>1.6948160299999999</v>
      </c>
      <c r="V47" s="224">
        <f t="shared" si="4"/>
        <v>1.6863186376399999</v>
      </c>
      <c r="W47" s="224">
        <f t="shared" si="5"/>
        <v>1.6625357336036002</v>
      </c>
      <c r="X47" s="224">
        <f t="shared" si="6"/>
        <v>1.637562658607564</v>
      </c>
      <c r="Y47" s="224">
        <f t="shared" si="7"/>
        <v>1.6137993143614882</v>
      </c>
      <c r="Z47" s="225">
        <f t="shared" si="8"/>
        <v>100</v>
      </c>
      <c r="AA47" s="225">
        <f t="shared" si="9"/>
        <v>100</v>
      </c>
      <c r="AB47" s="225">
        <f t="shared" si="10"/>
        <v>100</v>
      </c>
      <c r="AC47" s="225">
        <f t="shared" si="11"/>
        <v>100</v>
      </c>
      <c r="AD47" s="225">
        <f t="shared" si="12"/>
        <v>100</v>
      </c>
    </row>
    <row r="48" spans="1:35">
      <c r="A48" s="339" t="s">
        <v>140</v>
      </c>
      <c r="B48" s="320" t="s">
        <v>236</v>
      </c>
      <c r="C48" s="177" t="s">
        <v>378</v>
      </c>
      <c r="D48" s="172"/>
      <c r="E48" s="172">
        <v>7.77</v>
      </c>
      <c r="F48" s="39">
        <f>7.26</f>
        <v>7.26</v>
      </c>
      <c r="G48" s="226">
        <f t="shared" ref="G48:G106" si="59">SUM(H48:K48)</f>
        <v>7.1925380000000008</v>
      </c>
      <c r="H48" s="39">
        <f>2.842538</f>
        <v>2.8425379999999998</v>
      </c>
      <c r="I48" s="39">
        <f>1.3</f>
        <v>1.3</v>
      </c>
      <c r="J48" s="39">
        <f>0.57</f>
        <v>0.56999999999999995</v>
      </c>
      <c r="K48" s="39">
        <f>2.48</f>
        <v>2.48</v>
      </c>
      <c r="L48" s="39">
        <v>7.13</v>
      </c>
      <c r="M48" s="39">
        <f>6.94</f>
        <v>6.94</v>
      </c>
      <c r="N48" s="39">
        <f>6.74</f>
        <v>6.74</v>
      </c>
      <c r="O48" s="39">
        <f>6.55</f>
        <v>6.55</v>
      </c>
      <c r="P48" s="173"/>
      <c r="Q48" s="173"/>
      <c r="R48" s="173"/>
      <c r="S48" s="173"/>
      <c r="T48" s="173"/>
      <c r="U48" s="224">
        <f t="shared" si="3"/>
        <v>7.1925380000000008</v>
      </c>
      <c r="V48" s="224">
        <f t="shared" si="4"/>
        <v>7.13</v>
      </c>
      <c r="W48" s="224">
        <f t="shared" si="5"/>
        <v>6.94</v>
      </c>
      <c r="X48" s="224">
        <f t="shared" si="6"/>
        <v>6.74</v>
      </c>
      <c r="Y48" s="224">
        <f t="shared" si="7"/>
        <v>6.55</v>
      </c>
      <c r="Z48" s="225">
        <f t="shared" si="8"/>
        <v>100</v>
      </c>
      <c r="AA48" s="225">
        <f t="shared" si="9"/>
        <v>100</v>
      </c>
      <c r="AB48" s="225">
        <f t="shared" si="10"/>
        <v>100</v>
      </c>
      <c r="AC48" s="225">
        <f t="shared" si="11"/>
        <v>100</v>
      </c>
      <c r="AD48" s="225">
        <f t="shared" si="12"/>
        <v>100</v>
      </c>
      <c r="AE48" s="239"/>
    </row>
    <row r="49" spans="1:30">
      <c r="A49" s="339"/>
      <c r="B49" s="320"/>
      <c r="C49" s="172" t="s">
        <v>218</v>
      </c>
      <c r="D49" s="172"/>
      <c r="E49" s="238">
        <f>E48*0.3445</f>
        <v>2.6767649999999996</v>
      </c>
      <c r="F49" s="226">
        <f>0.12*F48</f>
        <v>0.87119999999999997</v>
      </c>
      <c r="G49" s="226">
        <f t="shared" ref="G49:T49" si="60">0.12*G48</f>
        <v>0.86310456000000002</v>
      </c>
      <c r="H49" s="226">
        <f t="shared" si="60"/>
        <v>0.34110455999999995</v>
      </c>
      <c r="I49" s="226">
        <f t="shared" si="60"/>
        <v>0.156</v>
      </c>
      <c r="J49" s="226">
        <f t="shared" si="60"/>
        <v>6.8399999999999989E-2</v>
      </c>
      <c r="K49" s="226">
        <f t="shared" si="60"/>
        <v>0.29759999999999998</v>
      </c>
      <c r="L49" s="226">
        <f t="shared" si="60"/>
        <v>0.85559999999999992</v>
      </c>
      <c r="M49" s="226">
        <f t="shared" si="60"/>
        <v>0.83279999999999998</v>
      </c>
      <c r="N49" s="226">
        <f t="shared" si="60"/>
        <v>0.80879999999999996</v>
      </c>
      <c r="O49" s="226">
        <f t="shared" si="60"/>
        <v>0.78599999999999992</v>
      </c>
      <c r="P49" s="226">
        <f t="shared" si="60"/>
        <v>0</v>
      </c>
      <c r="Q49" s="226">
        <f t="shared" si="60"/>
        <v>0</v>
      </c>
      <c r="R49" s="226">
        <f t="shared" si="60"/>
        <v>0</v>
      </c>
      <c r="S49" s="226">
        <f t="shared" si="60"/>
        <v>0</v>
      </c>
      <c r="T49" s="226">
        <f t="shared" si="60"/>
        <v>0</v>
      </c>
      <c r="U49" s="224">
        <f t="shared" si="3"/>
        <v>0.86310456000000002</v>
      </c>
      <c r="V49" s="224">
        <f t="shared" si="4"/>
        <v>0.85559999999999992</v>
      </c>
      <c r="W49" s="224">
        <f t="shared" si="5"/>
        <v>0.83279999999999998</v>
      </c>
      <c r="X49" s="224">
        <f t="shared" si="6"/>
        <v>0.80879999999999996</v>
      </c>
      <c r="Y49" s="224">
        <f t="shared" si="7"/>
        <v>0.78599999999999992</v>
      </c>
      <c r="Z49" s="225">
        <f t="shared" si="8"/>
        <v>100</v>
      </c>
      <c r="AA49" s="225">
        <f t="shared" si="9"/>
        <v>100</v>
      </c>
      <c r="AB49" s="225">
        <f t="shared" si="10"/>
        <v>100</v>
      </c>
      <c r="AC49" s="225">
        <f t="shared" si="11"/>
        <v>100</v>
      </c>
      <c r="AD49" s="225">
        <f t="shared" si="12"/>
        <v>100</v>
      </c>
    </row>
    <row r="50" spans="1:30">
      <c r="A50" s="340"/>
      <c r="B50" s="320"/>
      <c r="C50" s="172" t="s">
        <v>49</v>
      </c>
      <c r="D50" s="172"/>
      <c r="E50" s="172">
        <v>22.33</v>
      </c>
      <c r="F50" s="39">
        <f>26.62</f>
        <v>26.62</v>
      </c>
      <c r="G50" s="226">
        <f t="shared" si="59"/>
        <v>29.518751355039996</v>
      </c>
      <c r="H50" s="39">
        <f>H48*4.10408</f>
        <v>11.666003355039999</v>
      </c>
      <c r="I50" s="39">
        <f>I48*4.10408</f>
        <v>5.3353039999999998</v>
      </c>
      <c r="J50" s="39">
        <f t="shared" ref="J50:K50" si="61">J48*4.10408</f>
        <v>2.3393255999999996</v>
      </c>
      <c r="K50" s="39">
        <f t="shared" si="61"/>
        <v>10.178118399999999</v>
      </c>
      <c r="L50" s="39">
        <f>32.63</f>
        <v>32.630000000000003</v>
      </c>
      <c r="M50" s="39">
        <f>35.01</f>
        <v>35.01</v>
      </c>
      <c r="N50" s="39">
        <f>37.09</f>
        <v>37.090000000000003</v>
      </c>
      <c r="O50" s="39">
        <f>39.27</f>
        <v>39.270000000000003</v>
      </c>
      <c r="P50" s="173"/>
      <c r="Q50" s="173"/>
      <c r="R50" s="173"/>
      <c r="S50" s="173"/>
      <c r="T50" s="173"/>
      <c r="U50" s="224">
        <f t="shared" si="3"/>
        <v>29.518751355039996</v>
      </c>
      <c r="V50" s="224">
        <f t="shared" si="4"/>
        <v>32.630000000000003</v>
      </c>
      <c r="W50" s="224">
        <f t="shared" si="5"/>
        <v>35.01</v>
      </c>
      <c r="X50" s="224">
        <f t="shared" si="6"/>
        <v>37.090000000000003</v>
      </c>
      <c r="Y50" s="224">
        <f t="shared" si="7"/>
        <v>39.270000000000003</v>
      </c>
      <c r="Z50" s="225">
        <f t="shared" si="8"/>
        <v>100</v>
      </c>
      <c r="AA50" s="225">
        <f t="shared" si="9"/>
        <v>100</v>
      </c>
      <c r="AB50" s="225">
        <f t="shared" si="10"/>
        <v>100</v>
      </c>
      <c r="AC50" s="225">
        <f t="shared" si="11"/>
        <v>100</v>
      </c>
      <c r="AD50" s="225">
        <f t="shared" si="12"/>
        <v>100</v>
      </c>
    </row>
    <row r="51" spans="1:30" ht="21">
      <c r="A51" s="340"/>
      <c r="B51" s="320"/>
      <c r="C51" s="172" t="s">
        <v>384</v>
      </c>
      <c r="D51" s="172"/>
      <c r="E51" s="240">
        <v>9.016222237694075E-5</v>
      </c>
      <c r="F51" s="39"/>
      <c r="G51" s="226">
        <f t="shared" si="59"/>
        <v>0</v>
      </c>
      <c r="H51" s="39"/>
      <c r="I51" s="39"/>
      <c r="J51" s="39"/>
      <c r="K51" s="39"/>
      <c r="L51" s="39"/>
      <c r="M51" s="39"/>
      <c r="N51" s="39"/>
      <c r="O51" s="39"/>
      <c r="P51" s="173"/>
      <c r="Q51" s="173"/>
      <c r="R51" s="173"/>
      <c r="S51" s="173"/>
      <c r="T51" s="173"/>
      <c r="U51" s="224">
        <f t="shared" si="3"/>
        <v>0</v>
      </c>
      <c r="V51" s="224">
        <f t="shared" si="4"/>
        <v>0</v>
      </c>
      <c r="W51" s="224">
        <f t="shared" si="5"/>
        <v>0</v>
      </c>
      <c r="X51" s="224">
        <f t="shared" si="6"/>
        <v>0</v>
      </c>
      <c r="Y51" s="224">
        <f t="shared" si="7"/>
        <v>0</v>
      </c>
      <c r="Z51" s="225" t="str">
        <f t="shared" si="8"/>
        <v/>
      </c>
      <c r="AA51" s="225" t="str">
        <f t="shared" si="9"/>
        <v/>
      </c>
      <c r="AB51" s="225" t="str">
        <f t="shared" si="10"/>
        <v/>
      </c>
      <c r="AC51" s="225" t="str">
        <f t="shared" si="11"/>
        <v/>
      </c>
      <c r="AD51" s="225" t="str">
        <f t="shared" si="12"/>
        <v/>
      </c>
    </row>
    <row r="52" spans="1:30">
      <c r="A52" s="340" t="s">
        <v>141</v>
      </c>
      <c r="B52" s="320" t="s">
        <v>246</v>
      </c>
      <c r="C52" s="172" t="s">
        <v>51</v>
      </c>
      <c r="D52" s="172"/>
      <c r="E52" s="241">
        <v>5164</v>
      </c>
      <c r="F52" s="39">
        <f>5132.46</f>
        <v>5132.46</v>
      </c>
      <c r="G52" s="226">
        <f t="shared" si="59"/>
        <v>5125.46</v>
      </c>
      <c r="H52" s="39">
        <v>2161</v>
      </c>
      <c r="I52" s="39">
        <v>1351.73</v>
      </c>
      <c r="J52" s="39">
        <f>40</f>
        <v>40</v>
      </c>
      <c r="K52" s="39">
        <f>1572.73</f>
        <v>1572.73</v>
      </c>
      <c r="L52" s="39">
        <v>5125.46</v>
      </c>
      <c r="M52" s="39">
        <v>5125.46</v>
      </c>
      <c r="N52" s="39">
        <v>5125.46</v>
      </c>
      <c r="O52" s="39">
        <v>5125.46</v>
      </c>
      <c r="P52" s="173"/>
      <c r="Q52" s="173"/>
      <c r="R52" s="173"/>
      <c r="S52" s="173"/>
      <c r="T52" s="173"/>
      <c r="U52" s="224">
        <f t="shared" si="3"/>
        <v>5125.46</v>
      </c>
      <c r="V52" s="224">
        <f t="shared" si="4"/>
        <v>5125.46</v>
      </c>
      <c r="W52" s="224">
        <f t="shared" si="5"/>
        <v>5125.46</v>
      </c>
      <c r="X52" s="224">
        <f t="shared" si="6"/>
        <v>5125.46</v>
      </c>
      <c r="Y52" s="224">
        <f t="shared" si="7"/>
        <v>5125.46</v>
      </c>
      <c r="Z52" s="225">
        <f t="shared" si="8"/>
        <v>100</v>
      </c>
      <c r="AA52" s="225">
        <f t="shared" si="9"/>
        <v>100</v>
      </c>
      <c r="AB52" s="225">
        <f t="shared" si="10"/>
        <v>100</v>
      </c>
      <c r="AC52" s="225">
        <f t="shared" si="11"/>
        <v>100</v>
      </c>
      <c r="AD52" s="225">
        <f t="shared" si="12"/>
        <v>100</v>
      </c>
    </row>
    <row r="53" spans="1:30">
      <c r="A53" s="340"/>
      <c r="B53" s="320"/>
      <c r="C53" s="172" t="s">
        <v>218</v>
      </c>
      <c r="D53" s="172"/>
      <c r="E53" s="238">
        <f>E52*0.1486</f>
        <v>767.37040000000002</v>
      </c>
      <c r="F53" s="226">
        <f>0.1429*F52/1000</f>
        <v>0.73342853399999997</v>
      </c>
      <c r="G53" s="226">
        <f t="shared" ref="G53:T53" si="62">0.1429*G52/1000</f>
        <v>0.73242823400000001</v>
      </c>
      <c r="H53" s="226">
        <f t="shared" si="62"/>
        <v>0.3088069</v>
      </c>
      <c r="I53" s="226">
        <f t="shared" si="62"/>
        <v>0.193162217</v>
      </c>
      <c r="J53" s="226">
        <f t="shared" si="62"/>
        <v>5.7160000000000006E-3</v>
      </c>
      <c r="K53" s="226">
        <f t="shared" si="62"/>
        <v>0.22474311700000002</v>
      </c>
      <c r="L53" s="226">
        <f t="shared" si="62"/>
        <v>0.73242823400000001</v>
      </c>
      <c r="M53" s="226">
        <f t="shared" si="62"/>
        <v>0.73242823400000001</v>
      </c>
      <c r="N53" s="226">
        <f t="shared" si="62"/>
        <v>0.73242823400000001</v>
      </c>
      <c r="O53" s="226">
        <f t="shared" si="62"/>
        <v>0.73242823400000001</v>
      </c>
      <c r="P53" s="226">
        <f t="shared" si="62"/>
        <v>0</v>
      </c>
      <c r="Q53" s="226">
        <f t="shared" si="62"/>
        <v>0</v>
      </c>
      <c r="R53" s="226">
        <f t="shared" si="62"/>
        <v>0</v>
      </c>
      <c r="S53" s="226">
        <f t="shared" si="62"/>
        <v>0</v>
      </c>
      <c r="T53" s="226">
        <f t="shared" si="62"/>
        <v>0</v>
      </c>
      <c r="U53" s="224">
        <f t="shared" si="3"/>
        <v>0.73242823400000001</v>
      </c>
      <c r="V53" s="224">
        <f t="shared" si="4"/>
        <v>0.73242823400000001</v>
      </c>
      <c r="W53" s="224">
        <f t="shared" si="5"/>
        <v>0.73242823400000001</v>
      </c>
      <c r="X53" s="224">
        <f t="shared" si="6"/>
        <v>0.73242823400000001</v>
      </c>
      <c r="Y53" s="224">
        <f t="shared" si="7"/>
        <v>0.73242823400000001</v>
      </c>
      <c r="Z53" s="225">
        <f t="shared" si="8"/>
        <v>100</v>
      </c>
      <c r="AA53" s="225">
        <f t="shared" si="9"/>
        <v>100</v>
      </c>
      <c r="AB53" s="225">
        <f t="shared" si="10"/>
        <v>100</v>
      </c>
      <c r="AC53" s="225">
        <f t="shared" si="11"/>
        <v>100</v>
      </c>
      <c r="AD53" s="225">
        <f t="shared" si="12"/>
        <v>100</v>
      </c>
    </row>
    <row r="54" spans="1:30">
      <c r="A54" s="340"/>
      <c r="B54" s="320"/>
      <c r="C54" s="172" t="s">
        <v>49</v>
      </c>
      <c r="D54" s="172"/>
      <c r="E54" s="172">
        <v>6.42</v>
      </c>
      <c r="F54" s="39">
        <f>6.21</f>
        <v>6.21</v>
      </c>
      <c r="G54" s="226">
        <f t="shared" si="59"/>
        <v>7.3960387800000005</v>
      </c>
      <c r="H54" s="39">
        <f>H52*1.443/1000</f>
        <v>3.1183230000000002</v>
      </c>
      <c r="I54" s="39">
        <f t="shared" ref="I54:K54" si="63">I52*1.443/1000</f>
        <v>1.9505463900000002</v>
      </c>
      <c r="J54" s="39">
        <f t="shared" si="63"/>
        <v>5.772E-2</v>
      </c>
      <c r="K54" s="39">
        <f t="shared" si="63"/>
        <v>2.2694493900000001</v>
      </c>
      <c r="L54" s="39">
        <f>L52*1.609/1000</f>
        <v>8.2468651400000006</v>
      </c>
      <c r="M54" s="39">
        <f>M52*1.775/1000</f>
        <v>9.0976914999999998</v>
      </c>
      <c r="N54" s="39">
        <f>N52*1.9346/1000</f>
        <v>9.9157149160000007</v>
      </c>
      <c r="O54" s="39">
        <f>O52*2.109/1000</f>
        <v>10.809595139999999</v>
      </c>
      <c r="P54" s="173"/>
      <c r="Q54" s="173"/>
      <c r="R54" s="173"/>
      <c r="S54" s="173"/>
      <c r="T54" s="173"/>
      <c r="U54" s="224">
        <f t="shared" si="3"/>
        <v>7.3960387800000005</v>
      </c>
      <c r="V54" s="224">
        <f t="shared" si="4"/>
        <v>8.2468651400000006</v>
      </c>
      <c r="W54" s="224">
        <f t="shared" si="5"/>
        <v>9.0976914999999998</v>
      </c>
      <c r="X54" s="224">
        <f t="shared" si="6"/>
        <v>9.9157149160000007</v>
      </c>
      <c r="Y54" s="224">
        <f t="shared" si="7"/>
        <v>10.809595139999999</v>
      </c>
      <c r="Z54" s="225">
        <f t="shared" si="8"/>
        <v>100</v>
      </c>
      <c r="AA54" s="225">
        <f t="shared" si="9"/>
        <v>100</v>
      </c>
      <c r="AB54" s="225">
        <f t="shared" si="10"/>
        <v>100</v>
      </c>
      <c r="AC54" s="225">
        <f t="shared" si="11"/>
        <v>100</v>
      </c>
      <c r="AD54" s="225">
        <f t="shared" si="12"/>
        <v>100</v>
      </c>
    </row>
    <row r="55" spans="1:30" ht="21">
      <c r="A55" s="340"/>
      <c r="B55" s="320"/>
      <c r="C55" s="172" t="s">
        <v>385</v>
      </c>
      <c r="D55" s="172"/>
      <c r="E55" s="172"/>
      <c r="F55" s="39"/>
      <c r="G55" s="226">
        <f t="shared" si="59"/>
        <v>0</v>
      </c>
      <c r="H55" s="39"/>
      <c r="I55" s="39"/>
      <c r="J55" s="39"/>
      <c r="K55" s="39"/>
      <c r="L55" s="39"/>
      <c r="M55" s="39"/>
      <c r="N55" s="39"/>
      <c r="O55" s="39"/>
      <c r="P55" s="173"/>
      <c r="Q55" s="173"/>
      <c r="R55" s="173"/>
      <c r="S55" s="173"/>
      <c r="T55" s="173"/>
      <c r="U55" s="224">
        <f t="shared" si="3"/>
        <v>0</v>
      </c>
      <c r="V55" s="224">
        <f t="shared" si="4"/>
        <v>0</v>
      </c>
      <c r="W55" s="224">
        <f t="shared" si="5"/>
        <v>0</v>
      </c>
      <c r="X55" s="224">
        <f t="shared" si="6"/>
        <v>0</v>
      </c>
      <c r="Y55" s="224">
        <f t="shared" si="7"/>
        <v>0</v>
      </c>
      <c r="Z55" s="225" t="str">
        <f t="shared" si="8"/>
        <v/>
      </c>
      <c r="AA55" s="225" t="str">
        <f t="shared" si="9"/>
        <v/>
      </c>
      <c r="AB55" s="225" t="str">
        <f t="shared" si="10"/>
        <v/>
      </c>
      <c r="AC55" s="225" t="str">
        <f t="shared" si="11"/>
        <v/>
      </c>
      <c r="AD55" s="225" t="str">
        <f t="shared" si="12"/>
        <v/>
      </c>
    </row>
    <row r="56" spans="1:30" ht="21">
      <c r="A56" s="340" t="s">
        <v>142</v>
      </c>
      <c r="B56" s="320" t="s">
        <v>247</v>
      </c>
      <c r="C56" s="172" t="s">
        <v>386</v>
      </c>
      <c r="D56" s="172"/>
      <c r="E56" s="172">
        <v>90.24</v>
      </c>
      <c r="F56" s="39">
        <f>88.52</f>
        <v>88.52</v>
      </c>
      <c r="G56" s="226">
        <f t="shared" si="59"/>
        <v>86.033999999999992</v>
      </c>
      <c r="H56" s="39">
        <f>33.58</f>
        <v>33.58</v>
      </c>
      <c r="I56" s="39">
        <f>14.528</f>
        <v>14.528</v>
      </c>
      <c r="J56" s="39">
        <f>12.01</f>
        <v>12.01</v>
      </c>
      <c r="K56" s="39">
        <f>25.916</f>
        <v>25.916</v>
      </c>
      <c r="L56" s="39">
        <f>G56*99%</f>
        <v>85.173659999999998</v>
      </c>
      <c r="M56" s="39">
        <f>L56*99%</f>
        <v>84.321923400000003</v>
      </c>
      <c r="N56" s="39">
        <f t="shared" ref="N56:O56" si="64">M56*99%</f>
        <v>83.478704166</v>
      </c>
      <c r="O56" s="39">
        <f t="shared" si="64"/>
        <v>82.643917124339993</v>
      </c>
      <c r="P56" s="173"/>
      <c r="Q56" s="173"/>
      <c r="R56" s="173"/>
      <c r="S56" s="173"/>
      <c r="T56" s="173"/>
      <c r="U56" s="224">
        <f t="shared" si="3"/>
        <v>86.033999999999992</v>
      </c>
      <c r="V56" s="224">
        <f t="shared" si="4"/>
        <v>85.173659999999998</v>
      </c>
      <c r="W56" s="224">
        <f t="shared" si="5"/>
        <v>84.321923400000003</v>
      </c>
      <c r="X56" s="224">
        <f t="shared" si="6"/>
        <v>83.478704166</v>
      </c>
      <c r="Y56" s="224">
        <f t="shared" si="7"/>
        <v>82.643917124339993</v>
      </c>
      <c r="Z56" s="225">
        <f t="shared" si="8"/>
        <v>100</v>
      </c>
      <c r="AA56" s="225">
        <f t="shared" si="9"/>
        <v>100</v>
      </c>
      <c r="AB56" s="225">
        <f t="shared" si="10"/>
        <v>100</v>
      </c>
      <c r="AC56" s="225">
        <f t="shared" si="11"/>
        <v>100</v>
      </c>
      <c r="AD56" s="225">
        <f t="shared" si="12"/>
        <v>100</v>
      </c>
    </row>
    <row r="57" spans="1:30">
      <c r="A57" s="340"/>
      <c r="B57" s="320"/>
      <c r="C57" s="172" t="s">
        <v>218</v>
      </c>
      <c r="D57" s="172"/>
      <c r="E57" s="238">
        <f>E56*1.154/1000</f>
        <v>0.10413695999999999</v>
      </c>
      <c r="F57" s="226">
        <f>1.154*F56/1000</f>
        <v>0.10215207999999998</v>
      </c>
      <c r="G57" s="226">
        <f t="shared" si="59"/>
        <v>9.9283235999999983E-2</v>
      </c>
      <c r="H57" s="226">
        <f t="shared" ref="H57:O57" si="65">1.154*H56/1000</f>
        <v>3.8751319999999992E-2</v>
      </c>
      <c r="I57" s="226">
        <f t="shared" si="65"/>
        <v>1.6765311999999997E-2</v>
      </c>
      <c r="J57" s="226">
        <f t="shared" si="65"/>
        <v>1.3859539999999998E-2</v>
      </c>
      <c r="K57" s="226">
        <f t="shared" si="65"/>
        <v>2.9907063999999997E-2</v>
      </c>
      <c r="L57" s="226">
        <f t="shared" si="65"/>
        <v>9.8290403639999996E-2</v>
      </c>
      <c r="M57" s="226">
        <f t="shared" si="65"/>
        <v>9.7307499603599995E-2</v>
      </c>
      <c r="N57" s="226">
        <f t="shared" si="65"/>
        <v>9.6334424607563987E-2</v>
      </c>
      <c r="O57" s="226">
        <f t="shared" si="65"/>
        <v>9.5371080361488336E-2</v>
      </c>
      <c r="P57" s="226">
        <f t="shared" ref="P57:T57" si="66">1.154*P56/1000</f>
        <v>0</v>
      </c>
      <c r="Q57" s="226">
        <f t="shared" si="66"/>
        <v>0</v>
      </c>
      <c r="R57" s="226">
        <f t="shared" si="66"/>
        <v>0</v>
      </c>
      <c r="S57" s="226">
        <f t="shared" si="66"/>
        <v>0</v>
      </c>
      <c r="T57" s="226">
        <f t="shared" si="66"/>
        <v>0</v>
      </c>
      <c r="U57" s="224">
        <f t="shared" si="3"/>
        <v>9.9283235999999983E-2</v>
      </c>
      <c r="V57" s="224">
        <f t="shared" si="4"/>
        <v>9.8290403639999996E-2</v>
      </c>
      <c r="W57" s="224">
        <f t="shared" si="5"/>
        <v>9.7307499603599995E-2</v>
      </c>
      <c r="X57" s="224">
        <f t="shared" si="6"/>
        <v>9.6334424607563987E-2</v>
      </c>
      <c r="Y57" s="224">
        <f t="shared" si="7"/>
        <v>9.5371080361488336E-2</v>
      </c>
      <c r="Z57" s="225">
        <f t="shared" si="8"/>
        <v>100</v>
      </c>
      <c r="AA57" s="225">
        <f t="shared" si="9"/>
        <v>100</v>
      </c>
      <c r="AB57" s="225">
        <f t="shared" si="10"/>
        <v>100</v>
      </c>
      <c r="AC57" s="225">
        <f t="shared" si="11"/>
        <v>100</v>
      </c>
      <c r="AD57" s="225">
        <f t="shared" si="12"/>
        <v>100</v>
      </c>
    </row>
    <row r="58" spans="1:30">
      <c r="A58" s="340"/>
      <c r="B58" s="320"/>
      <c r="C58" s="172" t="s">
        <v>49</v>
      </c>
      <c r="D58" s="172"/>
      <c r="E58" s="172">
        <v>0.45</v>
      </c>
      <c r="F58" s="39">
        <f>0.43</f>
        <v>0.43</v>
      </c>
      <c r="G58" s="226">
        <f t="shared" si="59"/>
        <v>0.432</v>
      </c>
      <c r="H58" s="39">
        <f>0.176</f>
        <v>0.17599999999999999</v>
      </c>
      <c r="I58" s="39">
        <f>0.066</f>
        <v>6.6000000000000003E-2</v>
      </c>
      <c r="J58" s="39">
        <f>0.06</f>
        <v>0.06</v>
      </c>
      <c r="K58" s="39">
        <f>0.13</f>
        <v>0.13</v>
      </c>
      <c r="L58" s="39">
        <f>0.4148</f>
        <v>0.4148</v>
      </c>
      <c r="M58" s="39">
        <f>0.4102</f>
        <v>0.41020000000000001</v>
      </c>
      <c r="N58" s="39">
        <f>0.41</f>
        <v>0.41</v>
      </c>
      <c r="O58" s="39">
        <f>0.402</f>
        <v>0.40200000000000002</v>
      </c>
      <c r="P58" s="173"/>
      <c r="Q58" s="173"/>
      <c r="R58" s="173"/>
      <c r="S58" s="173"/>
      <c r="T58" s="173"/>
      <c r="U58" s="224">
        <f t="shared" si="3"/>
        <v>0.432</v>
      </c>
      <c r="V58" s="224">
        <f t="shared" si="4"/>
        <v>0.4148</v>
      </c>
      <c r="W58" s="224">
        <f t="shared" si="5"/>
        <v>0.41020000000000001</v>
      </c>
      <c r="X58" s="224">
        <f t="shared" si="6"/>
        <v>0.41</v>
      </c>
      <c r="Y58" s="224">
        <f t="shared" si="7"/>
        <v>0.40200000000000002</v>
      </c>
      <c r="Z58" s="225">
        <f t="shared" si="8"/>
        <v>100</v>
      </c>
      <c r="AA58" s="225">
        <f t="shared" si="9"/>
        <v>100</v>
      </c>
      <c r="AB58" s="225">
        <f t="shared" si="10"/>
        <v>100</v>
      </c>
      <c r="AC58" s="225">
        <f t="shared" si="11"/>
        <v>100</v>
      </c>
      <c r="AD58" s="225">
        <f t="shared" si="12"/>
        <v>100</v>
      </c>
    </row>
    <row r="59" spans="1:30" ht="39.75">
      <c r="A59" s="340" t="s">
        <v>143</v>
      </c>
      <c r="B59" s="320" t="s">
        <v>283</v>
      </c>
      <c r="C59" s="172" t="s">
        <v>387</v>
      </c>
      <c r="D59" s="172"/>
      <c r="E59" s="172"/>
      <c r="F59" s="39"/>
      <c r="G59" s="226">
        <f t="shared" si="59"/>
        <v>0</v>
      </c>
      <c r="H59" s="39"/>
      <c r="I59" s="39"/>
      <c r="J59" s="39"/>
      <c r="K59" s="39"/>
      <c r="L59" s="39"/>
      <c r="M59" s="39"/>
      <c r="N59" s="39"/>
      <c r="O59" s="39"/>
      <c r="P59" s="173"/>
      <c r="Q59" s="173"/>
      <c r="R59" s="173"/>
      <c r="S59" s="173"/>
      <c r="T59" s="173"/>
      <c r="U59" s="224">
        <f t="shared" si="3"/>
        <v>0</v>
      </c>
      <c r="V59" s="224">
        <f t="shared" si="4"/>
        <v>0</v>
      </c>
      <c r="W59" s="224">
        <f t="shared" si="5"/>
        <v>0</v>
      </c>
      <c r="X59" s="224">
        <f t="shared" si="6"/>
        <v>0</v>
      </c>
      <c r="Y59" s="224">
        <f t="shared" si="7"/>
        <v>0</v>
      </c>
      <c r="Z59" s="225" t="str">
        <f t="shared" si="8"/>
        <v/>
      </c>
      <c r="AA59" s="225" t="str">
        <f t="shared" si="9"/>
        <v/>
      </c>
      <c r="AB59" s="225" t="str">
        <f t="shared" si="10"/>
        <v/>
      </c>
      <c r="AC59" s="225" t="str">
        <f t="shared" si="11"/>
        <v/>
      </c>
      <c r="AD59" s="225" t="str">
        <f t="shared" si="12"/>
        <v/>
      </c>
    </row>
    <row r="60" spans="1:30">
      <c r="A60" s="340"/>
      <c r="B60" s="320"/>
      <c r="C60" s="172" t="s">
        <v>50</v>
      </c>
      <c r="D60" s="172"/>
      <c r="E60" s="242"/>
      <c r="F60" s="39"/>
      <c r="G60" s="226"/>
      <c r="H60" s="39"/>
      <c r="I60" s="39"/>
      <c r="J60" s="39"/>
      <c r="K60" s="39"/>
      <c r="L60" s="39"/>
      <c r="M60" s="39"/>
      <c r="N60" s="39"/>
      <c r="O60" s="39"/>
      <c r="P60" s="173"/>
      <c r="Q60" s="173"/>
      <c r="R60" s="173"/>
      <c r="S60" s="173"/>
      <c r="T60" s="173"/>
      <c r="U60" s="224">
        <f t="shared" si="3"/>
        <v>0</v>
      </c>
      <c r="V60" s="224">
        <f t="shared" si="4"/>
        <v>0</v>
      </c>
      <c r="W60" s="224">
        <f t="shared" si="5"/>
        <v>0</v>
      </c>
      <c r="X60" s="224">
        <f t="shared" si="6"/>
        <v>0</v>
      </c>
      <c r="Y60" s="224">
        <f t="shared" si="7"/>
        <v>0</v>
      </c>
      <c r="Z60" s="225" t="str">
        <f t="shared" si="8"/>
        <v/>
      </c>
      <c r="AA60" s="225" t="str">
        <f t="shared" si="9"/>
        <v/>
      </c>
      <c r="AB60" s="225" t="str">
        <f t="shared" si="10"/>
        <v/>
      </c>
      <c r="AC60" s="225" t="str">
        <f t="shared" si="11"/>
        <v/>
      </c>
      <c r="AD60" s="225" t="str">
        <f t="shared" si="12"/>
        <v/>
      </c>
    </row>
    <row r="61" spans="1:30" ht="33" customHeight="1">
      <c r="A61" s="340"/>
      <c r="B61" s="320"/>
      <c r="C61" s="172" t="s">
        <v>49</v>
      </c>
      <c r="D61" s="172"/>
      <c r="E61" s="242"/>
      <c r="F61" s="39"/>
      <c r="G61" s="226"/>
      <c r="H61" s="39"/>
      <c r="I61" s="39"/>
      <c r="J61" s="39"/>
      <c r="K61" s="39"/>
      <c r="L61" s="39"/>
      <c r="M61" s="39"/>
      <c r="N61" s="39"/>
      <c r="O61" s="39"/>
      <c r="P61" s="173"/>
      <c r="Q61" s="173"/>
      <c r="R61" s="173"/>
      <c r="S61" s="173"/>
      <c r="T61" s="173"/>
      <c r="U61" s="224">
        <f t="shared" si="3"/>
        <v>0</v>
      </c>
      <c r="V61" s="224">
        <f t="shared" si="4"/>
        <v>0</v>
      </c>
      <c r="W61" s="224">
        <f t="shared" si="5"/>
        <v>0</v>
      </c>
      <c r="X61" s="224">
        <f t="shared" si="6"/>
        <v>0</v>
      </c>
      <c r="Y61" s="224">
        <f t="shared" si="7"/>
        <v>0</v>
      </c>
      <c r="Z61" s="225" t="str">
        <f t="shared" si="8"/>
        <v/>
      </c>
      <c r="AA61" s="225" t="str">
        <f t="shared" si="9"/>
        <v/>
      </c>
      <c r="AB61" s="225" t="str">
        <f t="shared" si="10"/>
        <v/>
      </c>
      <c r="AC61" s="225" t="str">
        <f t="shared" si="11"/>
        <v/>
      </c>
      <c r="AD61" s="225" t="str">
        <f t="shared" si="12"/>
        <v/>
      </c>
    </row>
    <row r="62" spans="1:30" ht="60.75" customHeight="1">
      <c r="A62" s="337" t="s">
        <v>224</v>
      </c>
      <c r="B62" s="345" t="s">
        <v>223</v>
      </c>
      <c r="C62" s="172" t="s">
        <v>49</v>
      </c>
      <c r="D62" s="172"/>
      <c r="E62" s="172"/>
      <c r="F62" s="226">
        <f>F65+F67+F69</f>
        <v>0.6075258</v>
      </c>
      <c r="G62" s="226">
        <f t="shared" ref="G62:T62" si="67">G65+G67+G69</f>
        <v>0.6666207757</v>
      </c>
      <c r="H62" s="226">
        <f t="shared" si="67"/>
        <v>0.17799608750000001</v>
      </c>
      <c r="I62" s="226">
        <f t="shared" si="67"/>
        <v>0.16111188720000003</v>
      </c>
      <c r="J62" s="226">
        <f t="shared" si="67"/>
        <v>0.1501269858</v>
      </c>
      <c r="K62" s="226">
        <f t="shared" si="67"/>
        <v>0.17738581520000002</v>
      </c>
      <c r="L62" s="226">
        <f t="shared" si="67"/>
        <v>0.74328914000000001</v>
      </c>
      <c r="M62" s="226">
        <f t="shared" si="67"/>
        <v>0.81983986000000009</v>
      </c>
      <c r="N62" s="226">
        <f t="shared" si="67"/>
        <v>0.89362479200000011</v>
      </c>
      <c r="O62" s="226">
        <f t="shared" si="67"/>
        <v>0.9741341280000001</v>
      </c>
      <c r="P62" s="226">
        <f t="shared" si="67"/>
        <v>0</v>
      </c>
      <c r="Q62" s="226">
        <f t="shared" si="67"/>
        <v>0</v>
      </c>
      <c r="R62" s="226">
        <f t="shared" si="67"/>
        <v>0</v>
      </c>
      <c r="S62" s="226">
        <f t="shared" si="67"/>
        <v>0</v>
      </c>
      <c r="T62" s="226">
        <f t="shared" si="67"/>
        <v>0</v>
      </c>
      <c r="U62" s="224">
        <f t="shared" si="3"/>
        <v>0.6666207757</v>
      </c>
      <c r="V62" s="224">
        <f t="shared" si="4"/>
        <v>0.74328914000000001</v>
      </c>
      <c r="W62" s="224">
        <f t="shared" si="5"/>
        <v>0.81983986000000009</v>
      </c>
      <c r="X62" s="224">
        <f t="shared" si="6"/>
        <v>0.89362479200000011</v>
      </c>
      <c r="Y62" s="224">
        <f t="shared" si="7"/>
        <v>0.9741341280000001</v>
      </c>
      <c r="Z62" s="225">
        <f t="shared" si="8"/>
        <v>100</v>
      </c>
      <c r="AA62" s="225">
        <f t="shared" si="9"/>
        <v>100</v>
      </c>
      <c r="AB62" s="225">
        <f t="shared" si="10"/>
        <v>100</v>
      </c>
      <c r="AC62" s="225">
        <f t="shared" si="11"/>
        <v>100</v>
      </c>
      <c r="AD62" s="225">
        <f t="shared" si="12"/>
        <v>100</v>
      </c>
    </row>
    <row r="63" spans="1:30" ht="48.75" customHeight="1">
      <c r="A63" s="338"/>
      <c r="B63" s="346"/>
      <c r="C63" s="172" t="s">
        <v>388</v>
      </c>
      <c r="D63" s="172"/>
      <c r="E63" s="172"/>
      <c r="F63" s="39"/>
      <c r="G63" s="226">
        <f t="shared" si="59"/>
        <v>0</v>
      </c>
      <c r="H63" s="39"/>
      <c r="I63" s="39"/>
      <c r="J63" s="39"/>
      <c r="K63" s="39"/>
      <c r="L63" s="39"/>
      <c r="M63" s="39"/>
      <c r="N63" s="39"/>
      <c r="O63" s="39"/>
      <c r="P63" s="173"/>
      <c r="Q63" s="173"/>
      <c r="R63" s="173"/>
      <c r="S63" s="173"/>
      <c r="T63" s="173"/>
      <c r="U63" s="224">
        <f t="shared" si="3"/>
        <v>0</v>
      </c>
      <c r="V63" s="224">
        <f t="shared" si="4"/>
        <v>0</v>
      </c>
      <c r="W63" s="224">
        <f t="shared" si="5"/>
        <v>0</v>
      </c>
      <c r="X63" s="224">
        <f t="shared" si="6"/>
        <v>0</v>
      </c>
      <c r="Y63" s="224">
        <f t="shared" si="7"/>
        <v>0</v>
      </c>
      <c r="Z63" s="225" t="str">
        <f t="shared" si="8"/>
        <v/>
      </c>
      <c r="AA63" s="225" t="str">
        <f t="shared" si="9"/>
        <v/>
      </c>
      <c r="AB63" s="225" t="str">
        <f t="shared" si="10"/>
        <v/>
      </c>
      <c r="AC63" s="225" t="str">
        <f t="shared" si="11"/>
        <v/>
      </c>
      <c r="AD63" s="225" t="str">
        <f t="shared" si="12"/>
        <v/>
      </c>
    </row>
    <row r="64" spans="1:30" ht="21">
      <c r="A64" s="339" t="s">
        <v>225</v>
      </c>
      <c r="B64" s="343" t="s">
        <v>18</v>
      </c>
      <c r="C64" s="172" t="s">
        <v>388</v>
      </c>
      <c r="D64" s="172"/>
      <c r="E64" s="172"/>
      <c r="F64" s="39"/>
      <c r="G64" s="226">
        <f t="shared" si="59"/>
        <v>0</v>
      </c>
      <c r="H64" s="39"/>
      <c r="I64" s="39"/>
      <c r="J64" s="39"/>
      <c r="K64" s="39"/>
      <c r="L64" s="39"/>
      <c r="M64" s="39"/>
      <c r="N64" s="39"/>
      <c r="O64" s="39"/>
      <c r="P64" s="173"/>
      <c r="Q64" s="173"/>
      <c r="R64" s="173"/>
      <c r="S64" s="173"/>
      <c r="T64" s="173"/>
      <c r="U64" s="224">
        <f t="shared" si="3"/>
        <v>0</v>
      </c>
      <c r="V64" s="224">
        <f t="shared" si="4"/>
        <v>0</v>
      </c>
      <c r="W64" s="224">
        <f t="shared" si="5"/>
        <v>0</v>
      </c>
      <c r="X64" s="224">
        <f t="shared" si="6"/>
        <v>0</v>
      </c>
      <c r="Y64" s="224">
        <f t="shared" si="7"/>
        <v>0</v>
      </c>
      <c r="Z64" s="225" t="str">
        <f t="shared" si="8"/>
        <v/>
      </c>
      <c r="AA64" s="225" t="str">
        <f t="shared" si="9"/>
        <v/>
      </c>
      <c r="AB64" s="225" t="str">
        <f t="shared" si="10"/>
        <v/>
      </c>
      <c r="AC64" s="225" t="str">
        <f t="shared" si="11"/>
        <v/>
      </c>
      <c r="AD64" s="225" t="str">
        <f t="shared" si="12"/>
        <v/>
      </c>
    </row>
    <row r="65" spans="1:30">
      <c r="A65" s="340"/>
      <c r="B65" s="344"/>
      <c r="C65" s="172" t="s">
        <v>49</v>
      </c>
      <c r="D65" s="172"/>
      <c r="E65" s="172"/>
      <c r="F65" s="39"/>
      <c r="G65" s="226">
        <f t="shared" si="59"/>
        <v>0</v>
      </c>
      <c r="H65" s="39"/>
      <c r="I65" s="39"/>
      <c r="J65" s="39"/>
      <c r="K65" s="39"/>
      <c r="L65" s="39"/>
      <c r="M65" s="39"/>
      <c r="N65" s="39"/>
      <c r="O65" s="39"/>
      <c r="P65" s="173"/>
      <c r="Q65" s="173"/>
      <c r="R65" s="173"/>
      <c r="S65" s="173"/>
      <c r="T65" s="173"/>
      <c r="U65" s="224">
        <f t="shared" si="3"/>
        <v>0</v>
      </c>
      <c r="V65" s="224">
        <f t="shared" si="4"/>
        <v>0</v>
      </c>
      <c r="W65" s="224">
        <f t="shared" si="5"/>
        <v>0</v>
      </c>
      <c r="X65" s="224">
        <f t="shared" si="6"/>
        <v>0</v>
      </c>
      <c r="Y65" s="224">
        <f t="shared" si="7"/>
        <v>0</v>
      </c>
      <c r="Z65" s="225" t="str">
        <f t="shared" si="8"/>
        <v/>
      </c>
      <c r="AA65" s="225" t="str">
        <f t="shared" si="9"/>
        <v/>
      </c>
      <c r="AB65" s="225" t="str">
        <f t="shared" si="10"/>
        <v/>
      </c>
      <c r="AC65" s="225" t="str">
        <f t="shared" si="11"/>
        <v/>
      </c>
      <c r="AD65" s="225" t="str">
        <f t="shared" si="12"/>
        <v/>
      </c>
    </row>
    <row r="66" spans="1:30" ht="21">
      <c r="A66" s="340" t="s">
        <v>226</v>
      </c>
      <c r="B66" s="343" t="s">
        <v>19</v>
      </c>
      <c r="C66" s="172" t="s">
        <v>388</v>
      </c>
      <c r="D66" s="172"/>
      <c r="E66" s="172">
        <v>30.5</v>
      </c>
      <c r="F66" s="39">
        <f>33.18</f>
        <v>33.18</v>
      </c>
      <c r="G66" s="226">
        <f t="shared" si="59"/>
        <v>32.770000000000003</v>
      </c>
      <c r="H66" s="39">
        <f>8.75</f>
        <v>8.75</v>
      </c>
      <c r="I66" s="39">
        <f>7.92</f>
        <v>7.92</v>
      </c>
      <c r="J66" s="39">
        <f>7.38</f>
        <v>7.38</v>
      </c>
      <c r="K66" s="39">
        <f>8.72</f>
        <v>8.7200000000000006</v>
      </c>
      <c r="L66" s="39">
        <v>32.770000000000003</v>
      </c>
      <c r="M66" s="39">
        <v>32.770000000000003</v>
      </c>
      <c r="N66" s="39">
        <v>32.770000000000003</v>
      </c>
      <c r="O66" s="39">
        <v>32.770000000000003</v>
      </c>
      <c r="P66" s="173"/>
      <c r="Q66" s="173"/>
      <c r="R66" s="173"/>
      <c r="S66" s="173"/>
      <c r="T66" s="173"/>
      <c r="U66" s="224">
        <f t="shared" si="3"/>
        <v>32.770000000000003</v>
      </c>
      <c r="V66" s="224">
        <f t="shared" si="4"/>
        <v>32.770000000000003</v>
      </c>
      <c r="W66" s="224">
        <f t="shared" si="5"/>
        <v>32.770000000000003</v>
      </c>
      <c r="X66" s="224">
        <f t="shared" si="6"/>
        <v>32.770000000000003</v>
      </c>
      <c r="Y66" s="224">
        <f t="shared" si="7"/>
        <v>32.770000000000003</v>
      </c>
      <c r="Z66" s="225">
        <f t="shared" si="8"/>
        <v>100</v>
      </c>
      <c r="AA66" s="225">
        <f t="shared" si="9"/>
        <v>100</v>
      </c>
      <c r="AB66" s="225">
        <f t="shared" si="10"/>
        <v>100</v>
      </c>
      <c r="AC66" s="225">
        <f t="shared" si="11"/>
        <v>100</v>
      </c>
      <c r="AD66" s="225">
        <f t="shared" si="12"/>
        <v>100</v>
      </c>
    </row>
    <row r="67" spans="1:30">
      <c r="A67" s="340"/>
      <c r="B67" s="344"/>
      <c r="C67" s="172" t="s">
        <v>49</v>
      </c>
      <c r="D67" s="172"/>
      <c r="E67" s="172">
        <v>0.63</v>
      </c>
      <c r="F67" s="39">
        <f>F66*18.31/1000</f>
        <v>0.6075258</v>
      </c>
      <c r="G67" s="226">
        <f t="shared" si="59"/>
        <v>0.6666207757</v>
      </c>
      <c r="H67" s="39">
        <f>H66*20.34241/1000</f>
        <v>0.17799608750000001</v>
      </c>
      <c r="I67" s="39">
        <f t="shared" ref="I67:K67" si="68">I66*20.34241/1000</f>
        <v>0.16111188720000003</v>
      </c>
      <c r="J67" s="39">
        <f t="shared" si="68"/>
        <v>0.1501269858</v>
      </c>
      <c r="K67" s="39">
        <f t="shared" si="68"/>
        <v>0.17738581520000002</v>
      </c>
      <c r="L67" s="39">
        <f>L66*22.682/1000</f>
        <v>0.74328914000000001</v>
      </c>
      <c r="M67" s="39">
        <f>M66*25.018/1000</f>
        <v>0.81983986000000009</v>
      </c>
      <c r="N67" s="39">
        <f>N66*27.2696/1000</f>
        <v>0.89362479200000011</v>
      </c>
      <c r="O67" s="39">
        <f>O66*29.7264/1000</f>
        <v>0.9741341280000001</v>
      </c>
      <c r="P67" s="173"/>
      <c r="Q67" s="173"/>
      <c r="R67" s="173"/>
      <c r="S67" s="173"/>
      <c r="T67" s="173"/>
      <c r="U67" s="224">
        <f t="shared" si="3"/>
        <v>0.6666207757</v>
      </c>
      <c r="V67" s="224">
        <f t="shared" si="4"/>
        <v>0.74328914000000001</v>
      </c>
      <c r="W67" s="224">
        <f t="shared" si="5"/>
        <v>0.81983986000000009</v>
      </c>
      <c r="X67" s="224">
        <f t="shared" si="6"/>
        <v>0.89362479200000011</v>
      </c>
      <c r="Y67" s="224">
        <f t="shared" si="7"/>
        <v>0.9741341280000001</v>
      </c>
      <c r="Z67" s="225">
        <f t="shared" si="8"/>
        <v>100</v>
      </c>
      <c r="AA67" s="225">
        <f t="shared" si="9"/>
        <v>100</v>
      </c>
      <c r="AB67" s="225">
        <f t="shared" si="10"/>
        <v>100</v>
      </c>
      <c r="AC67" s="225">
        <f t="shared" si="11"/>
        <v>100</v>
      </c>
      <c r="AD67" s="225">
        <f t="shared" si="12"/>
        <v>100</v>
      </c>
    </row>
    <row r="68" spans="1:30" ht="39.75">
      <c r="A68" s="337" t="s">
        <v>228</v>
      </c>
      <c r="B68" s="343" t="s">
        <v>227</v>
      </c>
      <c r="C68" s="172" t="s">
        <v>387</v>
      </c>
      <c r="D68" s="172"/>
      <c r="E68" s="172"/>
      <c r="F68" s="39"/>
      <c r="G68" s="226">
        <f t="shared" si="59"/>
        <v>0</v>
      </c>
      <c r="H68" s="39"/>
      <c r="I68" s="39"/>
      <c r="J68" s="39"/>
      <c r="K68" s="39"/>
      <c r="L68" s="39"/>
      <c r="M68" s="39"/>
      <c r="N68" s="39"/>
      <c r="O68" s="39"/>
      <c r="P68" s="173"/>
      <c r="Q68" s="173"/>
      <c r="R68" s="173"/>
      <c r="S68" s="173"/>
      <c r="T68" s="173"/>
      <c r="U68" s="224">
        <f t="shared" si="3"/>
        <v>0</v>
      </c>
      <c r="V68" s="224">
        <f t="shared" si="4"/>
        <v>0</v>
      </c>
      <c r="W68" s="224">
        <f t="shared" si="5"/>
        <v>0</v>
      </c>
      <c r="X68" s="224">
        <f t="shared" si="6"/>
        <v>0</v>
      </c>
      <c r="Y68" s="224">
        <f t="shared" si="7"/>
        <v>0</v>
      </c>
      <c r="Z68" s="225" t="str">
        <f t="shared" si="8"/>
        <v/>
      </c>
      <c r="AA68" s="225" t="str">
        <f t="shared" si="9"/>
        <v/>
      </c>
      <c r="AB68" s="225" t="str">
        <f t="shared" si="10"/>
        <v/>
      </c>
      <c r="AC68" s="225" t="str">
        <f t="shared" si="11"/>
        <v/>
      </c>
      <c r="AD68" s="225" t="str">
        <f t="shared" si="12"/>
        <v/>
      </c>
    </row>
    <row r="69" spans="1:30" ht="23.25" customHeight="1">
      <c r="A69" s="338"/>
      <c r="B69" s="344"/>
      <c r="C69" s="172" t="s">
        <v>49</v>
      </c>
      <c r="D69" s="172"/>
      <c r="E69" s="172"/>
      <c r="F69" s="39"/>
      <c r="G69" s="226"/>
      <c r="H69" s="39"/>
      <c r="I69" s="39"/>
      <c r="J69" s="39"/>
      <c r="K69" s="39"/>
      <c r="L69" s="39"/>
      <c r="M69" s="39"/>
      <c r="N69" s="39"/>
      <c r="O69" s="39"/>
      <c r="P69" s="173"/>
      <c r="Q69" s="173"/>
      <c r="R69" s="173"/>
      <c r="S69" s="173"/>
      <c r="T69" s="173"/>
      <c r="U69" s="224">
        <f t="shared" si="3"/>
        <v>0</v>
      </c>
      <c r="V69" s="224">
        <f t="shared" si="4"/>
        <v>0</v>
      </c>
      <c r="W69" s="224">
        <f t="shared" si="5"/>
        <v>0</v>
      </c>
      <c r="X69" s="224">
        <f t="shared" si="6"/>
        <v>0</v>
      </c>
      <c r="Y69" s="224">
        <f t="shared" si="7"/>
        <v>0</v>
      </c>
      <c r="Z69" s="225" t="str">
        <f t="shared" si="8"/>
        <v/>
      </c>
      <c r="AA69" s="225" t="str">
        <f t="shared" si="9"/>
        <v/>
      </c>
      <c r="AB69" s="225" t="str">
        <f t="shared" si="10"/>
        <v/>
      </c>
      <c r="AC69" s="225" t="str">
        <f t="shared" si="11"/>
        <v/>
      </c>
      <c r="AD69" s="225" t="str">
        <f t="shared" si="12"/>
        <v/>
      </c>
    </row>
    <row r="70" spans="1:30">
      <c r="A70" s="337">
        <v>8</v>
      </c>
      <c r="B70" s="345" t="s">
        <v>235</v>
      </c>
      <c r="C70" s="172" t="s">
        <v>373</v>
      </c>
      <c r="D70" s="172"/>
      <c r="E70" s="243">
        <f>E73+E86</f>
        <v>1010.43287</v>
      </c>
      <c r="F70" s="244">
        <f>F73+F86</f>
        <v>1070.5310399999998</v>
      </c>
      <c r="G70" s="244">
        <f t="shared" ref="G70:O70" si="69">G73+G86</f>
        <v>1203.2557503999999</v>
      </c>
      <c r="H70" s="244">
        <f t="shared" si="69"/>
        <v>283.24459810000002</v>
      </c>
      <c r="I70" s="244">
        <f t="shared" si="69"/>
        <v>310.39395990000003</v>
      </c>
      <c r="J70" s="244">
        <f t="shared" si="69"/>
        <v>307.89268420000002</v>
      </c>
      <c r="K70" s="244">
        <f t="shared" si="69"/>
        <v>301.7245082</v>
      </c>
      <c r="L70" s="244">
        <f t="shared" si="69"/>
        <v>1209.272029152</v>
      </c>
      <c r="M70" s="244">
        <f t="shared" si="69"/>
        <v>1215.3183892977597</v>
      </c>
      <c r="N70" s="244">
        <f t="shared" si="69"/>
        <v>1221.3949812442486</v>
      </c>
      <c r="O70" s="244">
        <f t="shared" si="69"/>
        <v>1227.5019561504696</v>
      </c>
      <c r="P70" s="226">
        <f t="shared" ref="P70:S70" si="70">P73+P86</f>
        <v>0</v>
      </c>
      <c r="Q70" s="226">
        <f t="shared" si="70"/>
        <v>0</v>
      </c>
      <c r="R70" s="226">
        <f t="shared" si="70"/>
        <v>0</v>
      </c>
      <c r="S70" s="226">
        <f t="shared" si="70"/>
        <v>0</v>
      </c>
      <c r="T70" s="226">
        <f t="shared" ref="T70" si="71">T73+T86</f>
        <v>0</v>
      </c>
      <c r="U70" s="224">
        <f t="shared" si="3"/>
        <v>1203.2557503999999</v>
      </c>
      <c r="V70" s="224">
        <f t="shared" si="4"/>
        <v>1209.272029152</v>
      </c>
      <c r="W70" s="224">
        <f t="shared" si="5"/>
        <v>1215.3183892977597</v>
      </c>
      <c r="X70" s="224">
        <f t="shared" si="6"/>
        <v>1221.3949812442486</v>
      </c>
      <c r="Y70" s="224">
        <f t="shared" si="7"/>
        <v>1227.5019561504696</v>
      </c>
      <c r="Z70" s="225">
        <f t="shared" si="8"/>
        <v>100</v>
      </c>
      <c r="AA70" s="225">
        <f t="shared" si="9"/>
        <v>100</v>
      </c>
      <c r="AB70" s="225">
        <f t="shared" si="10"/>
        <v>100</v>
      </c>
      <c r="AC70" s="225">
        <f t="shared" si="11"/>
        <v>100</v>
      </c>
      <c r="AD70" s="225">
        <f t="shared" si="12"/>
        <v>100</v>
      </c>
    </row>
    <row r="71" spans="1:30">
      <c r="A71" s="347"/>
      <c r="B71" s="349"/>
      <c r="C71" s="172" t="s">
        <v>218</v>
      </c>
      <c r="D71" s="172"/>
      <c r="E71" s="243">
        <v>0.89400000000000002</v>
      </c>
      <c r="F71" s="244">
        <f>F74+F87</f>
        <v>1.2397694823559999</v>
      </c>
      <c r="G71" s="244">
        <f t="shared" ref="G71:O71" si="72">G74+G87</f>
        <v>1.39506526473996</v>
      </c>
      <c r="H71" s="244">
        <f t="shared" si="72"/>
        <v>0.32682169433044</v>
      </c>
      <c r="I71" s="244">
        <f t="shared" si="72"/>
        <v>0.36086417488076</v>
      </c>
      <c r="J71" s="244">
        <f t="shared" si="72"/>
        <v>0.35763192186907999</v>
      </c>
      <c r="K71" s="244">
        <f t="shared" si="72"/>
        <v>0.34974747365968001</v>
      </c>
      <c r="L71" s="244">
        <f t="shared" si="72"/>
        <v>1.4020405910636597</v>
      </c>
      <c r="M71" s="244">
        <f t="shared" si="72"/>
        <v>1.4090507940189776</v>
      </c>
      <c r="N71" s="244">
        <f t="shared" si="72"/>
        <v>1.4160960479890725</v>
      </c>
      <c r="O71" s="244">
        <f t="shared" si="72"/>
        <v>1.4231765282290179</v>
      </c>
      <c r="P71" s="226">
        <f t="shared" ref="P71:S71" si="73">P74+P87</f>
        <v>0</v>
      </c>
      <c r="Q71" s="226">
        <f t="shared" si="73"/>
        <v>0</v>
      </c>
      <c r="R71" s="226">
        <f t="shared" si="73"/>
        <v>0</v>
      </c>
      <c r="S71" s="226">
        <f t="shared" si="73"/>
        <v>0</v>
      </c>
      <c r="T71" s="226">
        <f t="shared" ref="T71" si="74">T74+T87</f>
        <v>0</v>
      </c>
      <c r="U71" s="224">
        <f t="shared" si="3"/>
        <v>1.39506526473996</v>
      </c>
      <c r="V71" s="224">
        <f t="shared" si="4"/>
        <v>1.4020405910636597</v>
      </c>
      <c r="W71" s="224">
        <f t="shared" si="5"/>
        <v>1.4090507940189776</v>
      </c>
      <c r="X71" s="224">
        <f t="shared" si="6"/>
        <v>1.4160960479890725</v>
      </c>
      <c r="Y71" s="224">
        <f t="shared" si="7"/>
        <v>1.4231765282290179</v>
      </c>
      <c r="Z71" s="225">
        <f t="shared" si="8"/>
        <v>100</v>
      </c>
      <c r="AA71" s="225">
        <f t="shared" si="9"/>
        <v>100</v>
      </c>
      <c r="AB71" s="225">
        <f t="shared" si="10"/>
        <v>100</v>
      </c>
      <c r="AC71" s="225">
        <f t="shared" si="11"/>
        <v>100</v>
      </c>
      <c r="AD71" s="225">
        <f t="shared" si="12"/>
        <v>100</v>
      </c>
    </row>
    <row r="72" spans="1:30" ht="25.5" customHeight="1">
      <c r="A72" s="338"/>
      <c r="B72" s="346"/>
      <c r="C72" s="179" t="s">
        <v>49</v>
      </c>
      <c r="D72" s="179"/>
      <c r="E72" s="245">
        <v>26.83</v>
      </c>
      <c r="F72" s="244">
        <f>F75+F88</f>
        <v>27.320265326800001</v>
      </c>
      <c r="G72" s="244">
        <f>G75+G88</f>
        <v>30.542105760000005</v>
      </c>
      <c r="H72" s="244">
        <f t="shared" ref="H72:O72" si="75">H75+H88</f>
        <v>7.2077064699999998</v>
      </c>
      <c r="I72" s="244">
        <f t="shared" si="75"/>
        <v>7.9849856900000002</v>
      </c>
      <c r="J72" s="244">
        <f t="shared" si="75"/>
        <v>7.7889878199999991</v>
      </c>
      <c r="K72" s="244">
        <f t="shared" si="75"/>
        <v>7.560425780000001</v>
      </c>
      <c r="L72" s="244">
        <f t="shared" si="75"/>
        <v>30.694816288799998</v>
      </c>
      <c r="M72" s="244">
        <f t="shared" si="75"/>
        <v>30.848290370243994</v>
      </c>
      <c r="N72" s="244">
        <f t="shared" si="75"/>
        <v>31.002531822095214</v>
      </c>
      <c r="O72" s="244">
        <f t="shared" si="75"/>
        <v>31.15754448120569</v>
      </c>
      <c r="P72" s="226">
        <f t="shared" ref="P72:S72" si="76">P75+P88</f>
        <v>0</v>
      </c>
      <c r="Q72" s="226">
        <f t="shared" si="76"/>
        <v>0</v>
      </c>
      <c r="R72" s="226">
        <f t="shared" si="76"/>
        <v>0</v>
      </c>
      <c r="S72" s="226">
        <f t="shared" si="76"/>
        <v>0</v>
      </c>
      <c r="T72" s="226">
        <f t="shared" ref="T72" si="77">T75+T88</f>
        <v>0</v>
      </c>
      <c r="U72" s="224">
        <f t="shared" ref="U72:U106" si="78">G72-P72</f>
        <v>30.542105760000005</v>
      </c>
      <c r="V72" s="224">
        <f t="shared" ref="V72:V106" si="79">L72-Q72</f>
        <v>30.694816288799998</v>
      </c>
      <c r="W72" s="224">
        <f t="shared" ref="W72:W106" si="80">M72-R72</f>
        <v>30.848290370243994</v>
      </c>
      <c r="X72" s="224">
        <f t="shared" ref="X72:X106" si="81">N72-S72</f>
        <v>31.002531822095214</v>
      </c>
      <c r="Y72" s="224">
        <f t="shared" ref="Y72:Y106" si="82">O72-T72</f>
        <v>31.15754448120569</v>
      </c>
      <c r="Z72" s="225">
        <f t="shared" ref="Z72:Z106" si="83">IF(U72&gt;0,U72/G72*100,"")</f>
        <v>100</v>
      </c>
      <c r="AA72" s="225">
        <f t="shared" ref="AA72:AA106" si="84">IF(V72&gt;0,V72/L72*100,"")</f>
        <v>100</v>
      </c>
      <c r="AB72" s="225">
        <f t="shared" ref="AB72:AB106" si="85">IF(W72&gt;0,W72/M72*100,"")</f>
        <v>100</v>
      </c>
      <c r="AC72" s="225">
        <f t="shared" ref="AC72:AC106" si="86">IF(X72&gt;0,X72/N72*100,"")</f>
        <v>100</v>
      </c>
      <c r="AD72" s="225">
        <f t="shared" ref="AD72:AD106" si="87">IF(Y72&gt;0,Y72/O72*100,"")</f>
        <v>100</v>
      </c>
    </row>
    <row r="73" spans="1:30">
      <c r="A73" s="246" t="s">
        <v>229</v>
      </c>
      <c r="B73" s="86" t="s">
        <v>240</v>
      </c>
      <c r="C73" s="172" t="s">
        <v>373</v>
      </c>
      <c r="D73" s="172"/>
      <c r="E73" s="243">
        <f>E77+E81</f>
        <v>758.93155000000002</v>
      </c>
      <c r="F73" s="244">
        <f>F77+F81</f>
        <v>795.80444</v>
      </c>
      <c r="G73" s="244">
        <f t="shared" ref="G73:O73" si="88">G77+G81</f>
        <v>878.59588039999994</v>
      </c>
      <c r="H73" s="244">
        <f t="shared" si="88"/>
        <v>222.55017810000001</v>
      </c>
      <c r="I73" s="244">
        <f t="shared" si="88"/>
        <v>216.74705990000001</v>
      </c>
      <c r="J73" s="244">
        <f t="shared" si="88"/>
        <v>218.2398742</v>
      </c>
      <c r="K73" s="244">
        <f t="shared" si="88"/>
        <v>221.0587682</v>
      </c>
      <c r="L73" s="244">
        <f t="shared" si="88"/>
        <v>882.98885980199987</v>
      </c>
      <c r="M73" s="244">
        <f t="shared" si="88"/>
        <v>887.40380410100977</v>
      </c>
      <c r="N73" s="244">
        <f t="shared" si="88"/>
        <v>891.84082312151486</v>
      </c>
      <c r="O73" s="244">
        <f t="shared" si="88"/>
        <v>896.30002723712232</v>
      </c>
      <c r="P73" s="226">
        <f t="shared" ref="P73:S73" si="89">P77+P81</f>
        <v>0</v>
      </c>
      <c r="Q73" s="226">
        <f t="shared" si="89"/>
        <v>0</v>
      </c>
      <c r="R73" s="226">
        <f t="shared" si="89"/>
        <v>0</v>
      </c>
      <c r="S73" s="226">
        <f t="shared" si="89"/>
        <v>0</v>
      </c>
      <c r="T73" s="226">
        <f t="shared" ref="T73" si="90">T77+T81</f>
        <v>0</v>
      </c>
      <c r="U73" s="224">
        <f t="shared" si="78"/>
        <v>878.59588039999994</v>
      </c>
      <c r="V73" s="224">
        <f t="shared" si="79"/>
        <v>882.98885980199987</v>
      </c>
      <c r="W73" s="224">
        <f t="shared" si="80"/>
        <v>887.40380410100977</v>
      </c>
      <c r="X73" s="224">
        <f t="shared" si="81"/>
        <v>891.84082312151486</v>
      </c>
      <c r="Y73" s="224">
        <f t="shared" si="82"/>
        <v>896.30002723712232</v>
      </c>
      <c r="Z73" s="225">
        <f t="shared" si="83"/>
        <v>100</v>
      </c>
      <c r="AA73" s="225">
        <f t="shared" si="84"/>
        <v>100</v>
      </c>
      <c r="AB73" s="225">
        <f t="shared" si="85"/>
        <v>100</v>
      </c>
      <c r="AC73" s="225">
        <f t="shared" si="86"/>
        <v>100</v>
      </c>
      <c r="AD73" s="225">
        <f t="shared" si="87"/>
        <v>100</v>
      </c>
    </row>
    <row r="74" spans="1:30">
      <c r="A74" s="246"/>
      <c r="B74" s="172"/>
      <c r="C74" s="172" t="s">
        <v>218</v>
      </c>
      <c r="D74" s="172"/>
      <c r="E74" s="243">
        <f>E73*0.76*1.49/1000</f>
        <v>0.85941408722000001</v>
      </c>
      <c r="F74" s="244">
        <f>F78+F82</f>
        <v>0.90116894785599999</v>
      </c>
      <c r="G74" s="244">
        <f t="shared" ref="G74:O74" si="91">G78+G82</f>
        <v>0.99492197496495993</v>
      </c>
      <c r="H74" s="244">
        <f t="shared" si="91"/>
        <v>0.25201582168044001</v>
      </c>
      <c r="I74" s="244">
        <f t="shared" si="91"/>
        <v>0.24544437063075999</v>
      </c>
      <c r="J74" s="244">
        <f t="shared" si="91"/>
        <v>0.24713483354407997</v>
      </c>
      <c r="K74" s="244">
        <f t="shared" si="91"/>
        <v>0.25032694910968001</v>
      </c>
      <c r="L74" s="244">
        <f t="shared" si="91"/>
        <v>0.99989658483978472</v>
      </c>
      <c r="M74" s="244">
        <f t="shared" si="91"/>
        <v>1.0048960677639833</v>
      </c>
      <c r="N74" s="244">
        <f t="shared" si="91"/>
        <v>1.0099205481028033</v>
      </c>
      <c r="O74" s="244">
        <f t="shared" si="91"/>
        <v>1.0149701508433173</v>
      </c>
      <c r="P74" s="226">
        <f t="shared" ref="P74:S74" si="92">P78+P82</f>
        <v>0</v>
      </c>
      <c r="Q74" s="226">
        <f t="shared" si="92"/>
        <v>0</v>
      </c>
      <c r="R74" s="226">
        <f t="shared" si="92"/>
        <v>0</v>
      </c>
      <c r="S74" s="226">
        <f t="shared" si="92"/>
        <v>0</v>
      </c>
      <c r="T74" s="226">
        <f t="shared" ref="T74" si="93">T78+T82</f>
        <v>0</v>
      </c>
      <c r="U74" s="224">
        <f t="shared" si="78"/>
        <v>0.99492197496495993</v>
      </c>
      <c r="V74" s="224">
        <f t="shared" si="79"/>
        <v>0.99989658483978472</v>
      </c>
      <c r="W74" s="224">
        <f t="shared" si="80"/>
        <v>1.0048960677639833</v>
      </c>
      <c r="X74" s="224">
        <f t="shared" si="81"/>
        <v>1.0099205481028033</v>
      </c>
      <c r="Y74" s="224">
        <f t="shared" si="82"/>
        <v>1.0149701508433173</v>
      </c>
      <c r="Z74" s="225">
        <f t="shared" si="83"/>
        <v>100</v>
      </c>
      <c r="AA74" s="225">
        <f t="shared" si="84"/>
        <v>100</v>
      </c>
      <c r="AB74" s="225">
        <f t="shared" si="85"/>
        <v>100</v>
      </c>
      <c r="AC74" s="225">
        <f t="shared" si="86"/>
        <v>100</v>
      </c>
      <c r="AD74" s="225">
        <f t="shared" si="87"/>
        <v>100</v>
      </c>
    </row>
    <row r="75" spans="1:30">
      <c r="A75" s="246"/>
      <c r="B75" s="172"/>
      <c r="C75" s="172" t="s">
        <v>49</v>
      </c>
      <c r="D75" s="172"/>
      <c r="E75" s="243">
        <f>E79+E83</f>
        <v>11.71457</v>
      </c>
      <c r="F75" s="244">
        <f>F79+F83</f>
        <v>19.926453246800001</v>
      </c>
      <c r="G75" s="244">
        <f t="shared" ref="G75:O75" si="94">G79+G83</f>
        <v>22.236713420000005</v>
      </c>
      <c r="H75" s="244">
        <f t="shared" si="94"/>
        <v>5.59147528</v>
      </c>
      <c r="I75" s="244">
        <f t="shared" si="94"/>
        <v>5.5852907000000007</v>
      </c>
      <c r="J75" s="244">
        <f t="shared" si="94"/>
        <v>5.4939565999999997</v>
      </c>
      <c r="K75" s="244">
        <f t="shared" si="94"/>
        <v>5.5659908400000004</v>
      </c>
      <c r="L75" s="244">
        <f t="shared" si="94"/>
        <v>22.3478969871</v>
      </c>
      <c r="M75" s="244">
        <f t="shared" si="94"/>
        <v>22.459636472035498</v>
      </c>
      <c r="N75" s="244">
        <f t="shared" si="94"/>
        <v>22.571934654395676</v>
      </c>
      <c r="O75" s="244">
        <f t="shared" si="94"/>
        <v>22.684794327667653</v>
      </c>
      <c r="P75" s="226">
        <f t="shared" ref="P75:S75" si="95">P79+P83</f>
        <v>0</v>
      </c>
      <c r="Q75" s="226">
        <f t="shared" si="95"/>
        <v>0</v>
      </c>
      <c r="R75" s="226">
        <f t="shared" si="95"/>
        <v>0</v>
      </c>
      <c r="S75" s="226">
        <f t="shared" si="95"/>
        <v>0</v>
      </c>
      <c r="T75" s="226">
        <f t="shared" ref="T75" si="96">T79+T83</f>
        <v>0</v>
      </c>
      <c r="U75" s="224">
        <f t="shared" si="78"/>
        <v>22.236713420000005</v>
      </c>
      <c r="V75" s="224">
        <f t="shared" si="79"/>
        <v>22.3478969871</v>
      </c>
      <c r="W75" s="224">
        <f t="shared" si="80"/>
        <v>22.459636472035498</v>
      </c>
      <c r="X75" s="224">
        <f t="shared" si="81"/>
        <v>22.571934654395676</v>
      </c>
      <c r="Y75" s="224">
        <f t="shared" si="82"/>
        <v>22.684794327667653</v>
      </c>
      <c r="Z75" s="225">
        <f t="shared" si="83"/>
        <v>100</v>
      </c>
      <c r="AA75" s="225">
        <f t="shared" si="84"/>
        <v>100</v>
      </c>
      <c r="AB75" s="225">
        <f t="shared" si="85"/>
        <v>100</v>
      </c>
      <c r="AC75" s="225">
        <f t="shared" si="86"/>
        <v>100</v>
      </c>
      <c r="AD75" s="225">
        <f t="shared" si="87"/>
        <v>100</v>
      </c>
    </row>
    <row r="76" spans="1:30">
      <c r="A76" s="246"/>
      <c r="B76" s="172"/>
      <c r="C76" s="172" t="s">
        <v>374</v>
      </c>
      <c r="D76" s="172"/>
      <c r="E76" s="243"/>
      <c r="F76" s="247"/>
      <c r="G76" s="244">
        <f t="shared" si="59"/>
        <v>0</v>
      </c>
      <c r="H76" s="247"/>
      <c r="I76" s="247"/>
      <c r="J76" s="247"/>
      <c r="K76" s="247"/>
      <c r="L76" s="247"/>
      <c r="M76" s="247"/>
      <c r="N76" s="247"/>
      <c r="O76" s="247"/>
      <c r="P76" s="173"/>
      <c r="Q76" s="173"/>
      <c r="R76" s="173"/>
      <c r="S76" s="173"/>
      <c r="T76" s="173"/>
      <c r="U76" s="224">
        <f t="shared" si="78"/>
        <v>0</v>
      </c>
      <c r="V76" s="224">
        <f t="shared" si="79"/>
        <v>0</v>
      </c>
      <c r="W76" s="224">
        <f t="shared" si="80"/>
        <v>0</v>
      </c>
      <c r="X76" s="224">
        <f t="shared" si="81"/>
        <v>0</v>
      </c>
      <c r="Y76" s="224">
        <f t="shared" si="82"/>
        <v>0</v>
      </c>
      <c r="Z76" s="225" t="str">
        <f t="shared" si="83"/>
        <v/>
      </c>
      <c r="AA76" s="225" t="str">
        <f t="shared" si="84"/>
        <v/>
      </c>
      <c r="AB76" s="225" t="str">
        <f t="shared" si="85"/>
        <v/>
      </c>
      <c r="AC76" s="225" t="str">
        <f t="shared" si="86"/>
        <v/>
      </c>
      <c r="AD76" s="225" t="str">
        <f t="shared" si="87"/>
        <v/>
      </c>
    </row>
    <row r="77" spans="1:30">
      <c r="A77" s="246" t="s">
        <v>230</v>
      </c>
      <c r="B77" s="86" t="s">
        <v>241</v>
      </c>
      <c r="C77" s="172" t="s">
        <v>373</v>
      </c>
      <c r="D77" s="172"/>
      <c r="E77" s="243">
        <f>348.9215+93.27093+250.759</f>
        <v>692.95142999999996</v>
      </c>
      <c r="F77" s="247">
        <f>728.95687</f>
        <v>728.95686999999998</v>
      </c>
      <c r="G77" s="244">
        <f>SUM(H77:K77)</f>
        <v>803.44861040000001</v>
      </c>
      <c r="H77" s="247">
        <f>203.5155081</f>
        <v>203.51550810000001</v>
      </c>
      <c r="I77" s="247">
        <f>198.2087199</f>
        <v>198.20871990000001</v>
      </c>
      <c r="J77" s="247">
        <f>199.5354142</f>
        <v>199.53541419999999</v>
      </c>
      <c r="K77" s="247">
        <f>202.1889682</f>
        <v>202.18896820000001</v>
      </c>
      <c r="L77" s="247">
        <f>G77*1.005</f>
        <v>807.46585345199992</v>
      </c>
      <c r="M77" s="247">
        <f>L77*1.005</f>
        <v>811.50318271925983</v>
      </c>
      <c r="N77" s="247">
        <f t="shared" ref="N77:O83" si="97">M77*1.005</f>
        <v>815.56069863285609</v>
      </c>
      <c r="O77" s="247">
        <f t="shared" si="97"/>
        <v>819.63850212602028</v>
      </c>
      <c r="P77" s="173"/>
      <c r="Q77" s="173"/>
      <c r="R77" s="173"/>
      <c r="S77" s="173"/>
      <c r="T77" s="173"/>
      <c r="U77" s="224">
        <f t="shared" si="78"/>
        <v>803.44861040000001</v>
      </c>
      <c r="V77" s="224">
        <f t="shared" si="79"/>
        <v>807.46585345199992</v>
      </c>
      <c r="W77" s="224">
        <f t="shared" si="80"/>
        <v>811.50318271925983</v>
      </c>
      <c r="X77" s="224">
        <f t="shared" si="81"/>
        <v>815.56069863285609</v>
      </c>
      <c r="Y77" s="224">
        <f t="shared" si="82"/>
        <v>819.63850212602028</v>
      </c>
      <c r="Z77" s="225">
        <f t="shared" si="83"/>
        <v>100</v>
      </c>
      <c r="AA77" s="225">
        <f t="shared" si="84"/>
        <v>100</v>
      </c>
      <c r="AB77" s="225">
        <f t="shared" si="85"/>
        <v>100</v>
      </c>
      <c r="AC77" s="225">
        <f t="shared" si="86"/>
        <v>100</v>
      </c>
      <c r="AD77" s="225">
        <f t="shared" si="87"/>
        <v>100</v>
      </c>
    </row>
    <row r="78" spans="1:30">
      <c r="A78" s="246"/>
      <c r="B78" s="86"/>
      <c r="C78" s="172" t="s">
        <v>218</v>
      </c>
      <c r="D78" s="172"/>
      <c r="E78" s="243">
        <f>E77*0.76*1.49/1000</f>
        <v>0.78469819933199991</v>
      </c>
      <c r="F78" s="244">
        <f>F77*0.76*1.49/1000</f>
        <v>0.82547075958799998</v>
      </c>
      <c r="G78" s="244">
        <f>G77*0.76*1.49/1000</f>
        <v>0.90982520641695996</v>
      </c>
      <c r="H78" s="244">
        <f t="shared" ref="H78:T78" si="98">H77*0.76*1.49/1000</f>
        <v>0.23046096137243999</v>
      </c>
      <c r="I78" s="244">
        <f t="shared" si="98"/>
        <v>0.22445155441476</v>
      </c>
      <c r="J78" s="244">
        <f t="shared" si="98"/>
        <v>0.22595390304007998</v>
      </c>
      <c r="K78" s="244">
        <f t="shared" si="98"/>
        <v>0.22895878758968002</v>
      </c>
      <c r="L78" s="244">
        <f t="shared" si="98"/>
        <v>0.91437433244904476</v>
      </c>
      <c r="M78" s="244">
        <f t="shared" si="98"/>
        <v>0.91894620411128969</v>
      </c>
      <c r="N78" s="244">
        <f t="shared" si="98"/>
        <v>0.92354093513184621</v>
      </c>
      <c r="O78" s="244">
        <f t="shared" si="98"/>
        <v>0.92815863980750535</v>
      </c>
      <c r="P78" s="226">
        <f t="shared" si="98"/>
        <v>0</v>
      </c>
      <c r="Q78" s="226">
        <f t="shared" si="98"/>
        <v>0</v>
      </c>
      <c r="R78" s="226">
        <f t="shared" si="98"/>
        <v>0</v>
      </c>
      <c r="S78" s="226">
        <f t="shared" si="98"/>
        <v>0</v>
      </c>
      <c r="T78" s="226">
        <f t="shared" si="98"/>
        <v>0</v>
      </c>
      <c r="U78" s="224">
        <f t="shared" si="78"/>
        <v>0.90982520641695996</v>
      </c>
      <c r="V78" s="224">
        <f t="shared" si="79"/>
        <v>0.91437433244904476</v>
      </c>
      <c r="W78" s="224">
        <f t="shared" si="80"/>
        <v>0.91894620411128969</v>
      </c>
      <c r="X78" s="224">
        <f t="shared" si="81"/>
        <v>0.92354093513184621</v>
      </c>
      <c r="Y78" s="224">
        <f t="shared" si="82"/>
        <v>0.92815863980750535</v>
      </c>
      <c r="Z78" s="225">
        <f t="shared" si="83"/>
        <v>100</v>
      </c>
      <c r="AA78" s="225">
        <f t="shared" si="84"/>
        <v>100</v>
      </c>
      <c r="AB78" s="225">
        <f t="shared" si="85"/>
        <v>100</v>
      </c>
      <c r="AC78" s="225">
        <f t="shared" si="86"/>
        <v>100</v>
      </c>
      <c r="AD78" s="225">
        <f t="shared" si="87"/>
        <v>100</v>
      </c>
    </row>
    <row r="79" spans="1:30">
      <c r="A79" s="246"/>
      <c r="B79" s="86"/>
      <c r="C79" s="172" t="s">
        <v>49</v>
      </c>
      <c r="D79" s="172"/>
      <c r="E79" s="243">
        <f>8.357+2.33557</f>
        <v>10.69257</v>
      </c>
      <c r="F79" s="247">
        <f>18.25263117407</f>
        <v>18.25263117407</v>
      </c>
      <c r="G79" s="244">
        <f t="shared" si="59"/>
        <v>20.354860780000003</v>
      </c>
      <c r="H79" s="247">
        <f>5.12081408</f>
        <v>5.1208140799999997</v>
      </c>
      <c r="I79" s="247">
        <f>5.1151489</f>
        <v>5.1151489000000003</v>
      </c>
      <c r="J79" s="247">
        <f>5.0314574</f>
        <v>5.0314573999999999</v>
      </c>
      <c r="K79" s="247">
        <f>5.0874404</f>
        <v>5.0874404000000002</v>
      </c>
      <c r="L79" s="247">
        <f>G79*1.005</f>
        <v>20.4566350839</v>
      </c>
      <c r="M79" s="247">
        <f>L79*1.005</f>
        <v>20.558918259319498</v>
      </c>
      <c r="N79" s="247">
        <f t="shared" si="97"/>
        <v>20.661712850616095</v>
      </c>
      <c r="O79" s="247">
        <f t="shared" si="97"/>
        <v>20.765021414869175</v>
      </c>
      <c r="P79" s="173"/>
      <c r="Q79" s="173"/>
      <c r="R79" s="173"/>
      <c r="S79" s="173"/>
      <c r="T79" s="173"/>
      <c r="U79" s="224">
        <f t="shared" si="78"/>
        <v>20.354860780000003</v>
      </c>
      <c r="V79" s="224">
        <f t="shared" si="79"/>
        <v>20.4566350839</v>
      </c>
      <c r="W79" s="224">
        <f t="shared" si="80"/>
        <v>20.558918259319498</v>
      </c>
      <c r="X79" s="224">
        <f t="shared" si="81"/>
        <v>20.661712850616095</v>
      </c>
      <c r="Y79" s="224">
        <f t="shared" si="82"/>
        <v>20.765021414869175</v>
      </c>
      <c r="Z79" s="225">
        <f t="shared" si="83"/>
        <v>100</v>
      </c>
      <c r="AA79" s="225">
        <f t="shared" si="84"/>
        <v>100</v>
      </c>
      <c r="AB79" s="225">
        <f t="shared" si="85"/>
        <v>100</v>
      </c>
      <c r="AC79" s="225">
        <f t="shared" si="86"/>
        <v>100</v>
      </c>
      <c r="AD79" s="225">
        <f t="shared" si="87"/>
        <v>100</v>
      </c>
    </row>
    <row r="80" spans="1:30">
      <c r="A80" s="246"/>
      <c r="B80" s="86"/>
      <c r="C80" s="172" t="s">
        <v>374</v>
      </c>
      <c r="D80" s="172"/>
      <c r="E80" s="243"/>
      <c r="F80" s="247"/>
      <c r="G80" s="244">
        <f t="shared" si="59"/>
        <v>0</v>
      </c>
      <c r="H80" s="247"/>
      <c r="I80" s="247"/>
      <c r="J80" s="247"/>
      <c r="K80" s="247"/>
      <c r="L80" s="247"/>
      <c r="M80" s="247"/>
      <c r="N80" s="247"/>
      <c r="O80" s="247"/>
      <c r="P80" s="173"/>
      <c r="Q80" s="173"/>
      <c r="R80" s="173"/>
      <c r="S80" s="173"/>
      <c r="T80" s="173"/>
      <c r="U80" s="224">
        <f t="shared" si="78"/>
        <v>0</v>
      </c>
      <c r="V80" s="224">
        <f t="shared" si="79"/>
        <v>0</v>
      </c>
      <c r="W80" s="224">
        <f t="shared" si="80"/>
        <v>0</v>
      </c>
      <c r="X80" s="224">
        <f t="shared" si="81"/>
        <v>0</v>
      </c>
      <c r="Y80" s="224">
        <f t="shared" si="82"/>
        <v>0</v>
      </c>
      <c r="Z80" s="225" t="str">
        <f t="shared" si="83"/>
        <v/>
      </c>
      <c r="AA80" s="225" t="str">
        <f t="shared" si="84"/>
        <v/>
      </c>
      <c r="AB80" s="225" t="str">
        <f t="shared" si="85"/>
        <v/>
      </c>
      <c r="AC80" s="225" t="str">
        <f t="shared" si="86"/>
        <v/>
      </c>
      <c r="AD80" s="225" t="str">
        <f t="shared" si="87"/>
        <v/>
      </c>
    </row>
    <row r="81" spans="1:30">
      <c r="A81" s="246" t="s">
        <v>231</v>
      </c>
      <c r="B81" s="86" t="s">
        <v>242</v>
      </c>
      <c r="C81" s="172" t="s">
        <v>375</v>
      </c>
      <c r="D81" s="172"/>
      <c r="E81" s="243">
        <f>42.68512+0+23.295</f>
        <v>65.980119999999999</v>
      </c>
      <c r="F81" s="247">
        <f>66.84757</f>
        <v>66.847570000000005</v>
      </c>
      <c r="G81" s="244">
        <f t="shared" si="59"/>
        <v>75.147269999999992</v>
      </c>
      <c r="H81" s="247">
        <f>19.03467</f>
        <v>19.034669999999998</v>
      </c>
      <c r="I81" s="247">
        <f>18.53834</f>
        <v>18.538340000000002</v>
      </c>
      <c r="J81" s="247">
        <f>18.70446</f>
        <v>18.704460000000001</v>
      </c>
      <c r="K81" s="247">
        <f>18.8698</f>
        <v>18.869800000000001</v>
      </c>
      <c r="L81" s="247">
        <f>G81*1.005</f>
        <v>75.523006349999989</v>
      </c>
      <c r="M81" s="247">
        <f>L81*1.005</f>
        <v>75.900621381749986</v>
      </c>
      <c r="N81" s="247">
        <f t="shared" si="97"/>
        <v>76.280124488658728</v>
      </c>
      <c r="O81" s="247">
        <f t="shared" si="97"/>
        <v>76.661525111102009</v>
      </c>
      <c r="P81" s="173"/>
      <c r="Q81" s="173"/>
      <c r="R81" s="173"/>
      <c r="S81" s="173"/>
      <c r="T81" s="173"/>
      <c r="U81" s="224">
        <f t="shared" si="78"/>
        <v>75.147269999999992</v>
      </c>
      <c r="V81" s="224">
        <f t="shared" si="79"/>
        <v>75.523006349999989</v>
      </c>
      <c r="W81" s="224">
        <f t="shared" si="80"/>
        <v>75.900621381749986</v>
      </c>
      <c r="X81" s="224">
        <f t="shared" si="81"/>
        <v>76.280124488658728</v>
      </c>
      <c r="Y81" s="224">
        <f t="shared" si="82"/>
        <v>76.661525111102009</v>
      </c>
      <c r="Z81" s="225">
        <f t="shared" si="83"/>
        <v>100</v>
      </c>
      <c r="AA81" s="225">
        <f t="shared" si="84"/>
        <v>100</v>
      </c>
      <c r="AB81" s="225">
        <f t="shared" si="85"/>
        <v>100</v>
      </c>
      <c r="AC81" s="225">
        <f t="shared" si="86"/>
        <v>100</v>
      </c>
      <c r="AD81" s="225">
        <f t="shared" si="87"/>
        <v>100</v>
      </c>
    </row>
    <row r="82" spans="1:30">
      <c r="A82" s="246"/>
      <c r="B82" s="172"/>
      <c r="C82" s="172" t="s">
        <v>218</v>
      </c>
      <c r="D82" s="172"/>
      <c r="E82" s="243">
        <f>E81*0.76*1.49/1000</f>
        <v>7.4715887888000015E-2</v>
      </c>
      <c r="F82" s="244">
        <f>F81*0.76*1.49/1000</f>
        <v>7.5698188267999997E-2</v>
      </c>
      <c r="G82" s="244">
        <f>G81*0.76*1.49/1000</f>
        <v>8.5096768547999982E-2</v>
      </c>
      <c r="H82" s="244">
        <f t="shared" ref="H82:T82" si="99">H81*0.76*1.49/1000</f>
        <v>2.1554860307999999E-2</v>
      </c>
      <c r="I82" s="244">
        <f t="shared" si="99"/>
        <v>2.0992816216E-2</v>
      </c>
      <c r="J82" s="244">
        <f t="shared" si="99"/>
        <v>2.1180930504000002E-2</v>
      </c>
      <c r="K82" s="244">
        <f t="shared" si="99"/>
        <v>2.1368161520000001E-2</v>
      </c>
      <c r="L82" s="244">
        <f t="shared" si="99"/>
        <v>8.5522252390739975E-2</v>
      </c>
      <c r="M82" s="244">
        <f t="shared" si="99"/>
        <v>8.5949863652693692E-2</v>
      </c>
      <c r="N82" s="244">
        <f t="shared" si="99"/>
        <v>8.6379612970957143E-2</v>
      </c>
      <c r="O82" s="244">
        <f t="shared" si="99"/>
        <v>8.6811511035811917E-2</v>
      </c>
      <c r="P82" s="226">
        <f t="shared" si="99"/>
        <v>0</v>
      </c>
      <c r="Q82" s="226">
        <f t="shared" si="99"/>
        <v>0</v>
      </c>
      <c r="R82" s="226">
        <f t="shared" si="99"/>
        <v>0</v>
      </c>
      <c r="S82" s="226">
        <f t="shared" si="99"/>
        <v>0</v>
      </c>
      <c r="T82" s="226">
        <f t="shared" si="99"/>
        <v>0</v>
      </c>
      <c r="U82" s="224">
        <f t="shared" si="78"/>
        <v>8.5096768547999982E-2</v>
      </c>
      <c r="V82" s="224">
        <f t="shared" si="79"/>
        <v>8.5522252390739975E-2</v>
      </c>
      <c r="W82" s="224">
        <f t="shared" si="80"/>
        <v>8.5949863652693692E-2</v>
      </c>
      <c r="X82" s="224">
        <f t="shared" si="81"/>
        <v>8.6379612970957143E-2</v>
      </c>
      <c r="Y82" s="224">
        <f t="shared" si="82"/>
        <v>8.6811511035811917E-2</v>
      </c>
      <c r="Z82" s="225">
        <f t="shared" si="83"/>
        <v>100</v>
      </c>
      <c r="AA82" s="225">
        <f t="shared" si="84"/>
        <v>100</v>
      </c>
      <c r="AB82" s="225">
        <f t="shared" si="85"/>
        <v>100</v>
      </c>
      <c r="AC82" s="225">
        <f t="shared" si="86"/>
        <v>100</v>
      </c>
      <c r="AD82" s="225">
        <f t="shared" si="87"/>
        <v>100</v>
      </c>
    </row>
    <row r="83" spans="1:30">
      <c r="A83" s="246"/>
      <c r="B83" s="172"/>
      <c r="C83" s="172" t="s">
        <v>49</v>
      </c>
      <c r="D83" s="172"/>
      <c r="E83" s="243">
        <f>1.022+0</f>
        <v>1.022</v>
      </c>
      <c r="F83" s="247">
        <f>1.67382207273</f>
        <v>1.6738220727299999</v>
      </c>
      <c r="G83" s="244">
        <f t="shared" si="59"/>
        <v>1.8818526400000002</v>
      </c>
      <c r="H83" s="247">
        <f>0.4706612</f>
        <v>0.4706612</v>
      </c>
      <c r="I83" s="247">
        <f>0.4701418</f>
        <v>0.4701418</v>
      </c>
      <c r="J83" s="247">
        <f>0.4624992</f>
        <v>0.4624992</v>
      </c>
      <c r="K83" s="247">
        <f>0.47855044</f>
        <v>0.47855044000000002</v>
      </c>
      <c r="L83" s="247">
        <f>G83*1.005</f>
        <v>1.8912619032</v>
      </c>
      <c r="M83" s="247">
        <f>L83*1.005</f>
        <v>1.9007182127159998</v>
      </c>
      <c r="N83" s="247">
        <f t="shared" si="97"/>
        <v>1.9102218037795797</v>
      </c>
      <c r="O83" s="247">
        <f t="shared" si="97"/>
        <v>1.9197729127984775</v>
      </c>
      <c r="P83" s="173"/>
      <c r="Q83" s="173"/>
      <c r="R83" s="173"/>
      <c r="S83" s="173"/>
      <c r="T83" s="173"/>
      <c r="U83" s="224">
        <f t="shared" si="78"/>
        <v>1.8818526400000002</v>
      </c>
      <c r="V83" s="224">
        <f t="shared" si="79"/>
        <v>1.8912619032</v>
      </c>
      <c r="W83" s="224">
        <f t="shared" si="80"/>
        <v>1.9007182127159998</v>
      </c>
      <c r="X83" s="224">
        <f t="shared" si="81"/>
        <v>1.9102218037795797</v>
      </c>
      <c r="Y83" s="224">
        <f t="shared" si="82"/>
        <v>1.9197729127984775</v>
      </c>
      <c r="Z83" s="225">
        <f t="shared" si="83"/>
        <v>100</v>
      </c>
      <c r="AA83" s="225">
        <f t="shared" si="84"/>
        <v>100</v>
      </c>
      <c r="AB83" s="225">
        <f t="shared" si="85"/>
        <v>100</v>
      </c>
      <c r="AC83" s="225">
        <f t="shared" si="86"/>
        <v>100</v>
      </c>
      <c r="AD83" s="225">
        <f t="shared" si="87"/>
        <v>100</v>
      </c>
    </row>
    <row r="84" spans="1:30">
      <c r="A84" s="246"/>
      <c r="B84" s="172"/>
      <c r="C84" s="172" t="s">
        <v>374</v>
      </c>
      <c r="D84" s="172"/>
      <c r="E84" s="243"/>
      <c r="F84" s="247"/>
      <c r="G84" s="244">
        <f t="shared" si="59"/>
        <v>0</v>
      </c>
      <c r="H84" s="247"/>
      <c r="I84" s="247"/>
      <c r="J84" s="247"/>
      <c r="K84" s="247"/>
      <c r="L84" s="247"/>
      <c r="M84" s="247"/>
      <c r="N84" s="247"/>
      <c r="O84" s="247"/>
      <c r="P84" s="173"/>
      <c r="Q84" s="173"/>
      <c r="R84" s="173"/>
      <c r="S84" s="173"/>
      <c r="T84" s="173"/>
      <c r="U84" s="224">
        <f t="shared" si="78"/>
        <v>0</v>
      </c>
      <c r="V84" s="224">
        <f t="shared" si="79"/>
        <v>0</v>
      </c>
      <c r="W84" s="224">
        <f t="shared" si="80"/>
        <v>0</v>
      </c>
      <c r="X84" s="224">
        <f t="shared" si="81"/>
        <v>0</v>
      </c>
      <c r="Y84" s="224">
        <f t="shared" si="82"/>
        <v>0</v>
      </c>
      <c r="Z84" s="225" t="str">
        <f t="shared" si="83"/>
        <v/>
      </c>
      <c r="AA84" s="225" t="str">
        <f t="shared" si="84"/>
        <v/>
      </c>
      <c r="AB84" s="225" t="str">
        <f t="shared" si="85"/>
        <v/>
      </c>
      <c r="AC84" s="225" t="str">
        <f t="shared" si="86"/>
        <v/>
      </c>
      <c r="AD84" s="225" t="str">
        <f t="shared" si="87"/>
        <v/>
      </c>
    </row>
    <row r="85" spans="1:30">
      <c r="A85" s="246"/>
      <c r="B85" s="172"/>
      <c r="C85" s="172" t="s">
        <v>376</v>
      </c>
      <c r="D85" s="172"/>
      <c r="E85" s="243"/>
      <c r="F85" s="247"/>
      <c r="G85" s="244">
        <f t="shared" si="59"/>
        <v>0</v>
      </c>
      <c r="H85" s="247"/>
      <c r="I85" s="247"/>
      <c r="J85" s="247"/>
      <c r="K85" s="247"/>
      <c r="L85" s="247"/>
      <c r="M85" s="247"/>
      <c r="N85" s="247"/>
      <c r="O85" s="247"/>
      <c r="P85" s="173"/>
      <c r="Q85" s="173"/>
      <c r="R85" s="173"/>
      <c r="S85" s="173"/>
      <c r="T85" s="173"/>
      <c r="U85" s="224">
        <f t="shared" si="78"/>
        <v>0</v>
      </c>
      <c r="V85" s="224">
        <f t="shared" si="79"/>
        <v>0</v>
      </c>
      <c r="W85" s="224">
        <f t="shared" si="80"/>
        <v>0</v>
      </c>
      <c r="X85" s="224">
        <f t="shared" si="81"/>
        <v>0</v>
      </c>
      <c r="Y85" s="224">
        <f t="shared" si="82"/>
        <v>0</v>
      </c>
      <c r="Z85" s="225" t="str">
        <f t="shared" si="83"/>
        <v/>
      </c>
      <c r="AA85" s="225" t="str">
        <f t="shared" si="84"/>
        <v/>
      </c>
      <c r="AB85" s="225" t="str">
        <f t="shared" si="85"/>
        <v/>
      </c>
      <c r="AC85" s="225" t="str">
        <f t="shared" si="86"/>
        <v/>
      </c>
      <c r="AD85" s="225" t="str">
        <f t="shared" si="87"/>
        <v/>
      </c>
    </row>
    <row r="86" spans="1:30">
      <c r="A86" s="246" t="s">
        <v>232</v>
      </c>
      <c r="B86" s="86" t="s">
        <v>219</v>
      </c>
      <c r="C86" s="172" t="s">
        <v>373</v>
      </c>
      <c r="D86" s="172"/>
      <c r="E86" s="243">
        <f>E90+E94</f>
        <v>251.50131999999999</v>
      </c>
      <c r="F86" s="244">
        <f>F90+F94</f>
        <v>274.72659999999996</v>
      </c>
      <c r="G86" s="244">
        <f>G90+G94</f>
        <v>324.65987000000001</v>
      </c>
      <c r="H86" s="244">
        <f t="shared" ref="H86:O86" si="100">H90+H94</f>
        <v>60.694419999999994</v>
      </c>
      <c r="I86" s="244">
        <f t="shared" si="100"/>
        <v>93.646900000000002</v>
      </c>
      <c r="J86" s="244">
        <f t="shared" si="100"/>
        <v>89.652810000000002</v>
      </c>
      <c r="K86" s="244">
        <f t="shared" si="100"/>
        <v>80.66574</v>
      </c>
      <c r="L86" s="244">
        <f t="shared" si="100"/>
        <v>326.28316934999998</v>
      </c>
      <c r="M86" s="244">
        <f t="shared" si="100"/>
        <v>327.91458519674995</v>
      </c>
      <c r="N86" s="244">
        <f t="shared" si="100"/>
        <v>329.55415812273367</v>
      </c>
      <c r="O86" s="244">
        <f t="shared" si="100"/>
        <v>331.20192891334733</v>
      </c>
      <c r="P86" s="226">
        <f t="shared" ref="P86:S86" si="101">P90+P94</f>
        <v>0</v>
      </c>
      <c r="Q86" s="226">
        <f t="shared" si="101"/>
        <v>0</v>
      </c>
      <c r="R86" s="226">
        <f t="shared" si="101"/>
        <v>0</v>
      </c>
      <c r="S86" s="226">
        <f t="shared" si="101"/>
        <v>0</v>
      </c>
      <c r="T86" s="226">
        <f t="shared" ref="T86" si="102">T90+T94</f>
        <v>0</v>
      </c>
      <c r="U86" s="224">
        <f t="shared" si="78"/>
        <v>324.65987000000001</v>
      </c>
      <c r="V86" s="224">
        <f t="shared" si="79"/>
        <v>326.28316934999998</v>
      </c>
      <c r="W86" s="224">
        <f t="shared" si="80"/>
        <v>327.91458519674995</v>
      </c>
      <c r="X86" s="224">
        <f t="shared" si="81"/>
        <v>329.55415812273367</v>
      </c>
      <c r="Y86" s="224">
        <f t="shared" si="82"/>
        <v>331.20192891334733</v>
      </c>
      <c r="Z86" s="225">
        <f t="shared" si="83"/>
        <v>100</v>
      </c>
      <c r="AA86" s="225">
        <f t="shared" si="84"/>
        <v>100</v>
      </c>
      <c r="AB86" s="225">
        <f t="shared" si="85"/>
        <v>100</v>
      </c>
      <c r="AC86" s="225">
        <f t="shared" si="86"/>
        <v>100</v>
      </c>
      <c r="AD86" s="225">
        <f t="shared" si="87"/>
        <v>100</v>
      </c>
    </row>
    <row r="87" spans="1:30">
      <c r="A87" s="246"/>
      <c r="B87" s="172"/>
      <c r="C87" s="172" t="s">
        <v>218</v>
      </c>
      <c r="D87" s="172"/>
      <c r="E87" s="243">
        <f>E86*0.76*1.49/1000</f>
        <v>0.284800094768</v>
      </c>
      <c r="F87" s="244">
        <f>F91+F95</f>
        <v>0.33860053449999999</v>
      </c>
      <c r="G87" s="244">
        <f t="shared" ref="G87:O87" si="103">G91+G95</f>
        <v>0.40014328977499997</v>
      </c>
      <c r="H87" s="244">
        <f t="shared" si="103"/>
        <v>7.4805872649999994E-2</v>
      </c>
      <c r="I87" s="244">
        <f t="shared" si="103"/>
        <v>0.11541980425000001</v>
      </c>
      <c r="J87" s="244">
        <f t="shared" si="103"/>
        <v>0.11049708832500001</v>
      </c>
      <c r="K87" s="244">
        <f t="shared" si="103"/>
        <v>9.942052455E-2</v>
      </c>
      <c r="L87" s="244">
        <f t="shared" si="103"/>
        <v>0.40214400622387497</v>
      </c>
      <c r="M87" s="244">
        <f t="shared" si="103"/>
        <v>0.40415472625499432</v>
      </c>
      <c r="N87" s="244">
        <f t="shared" si="103"/>
        <v>0.40617549988626928</v>
      </c>
      <c r="O87" s="244">
        <f t="shared" si="103"/>
        <v>0.40820637738570054</v>
      </c>
      <c r="P87" s="226">
        <f t="shared" ref="P87:S87" si="104">P91+P95</f>
        <v>0</v>
      </c>
      <c r="Q87" s="226">
        <f t="shared" si="104"/>
        <v>0</v>
      </c>
      <c r="R87" s="226">
        <f t="shared" si="104"/>
        <v>0</v>
      </c>
      <c r="S87" s="226">
        <f t="shared" si="104"/>
        <v>0</v>
      </c>
      <c r="T87" s="226">
        <f t="shared" ref="T87" si="105">T91+T95</f>
        <v>0</v>
      </c>
      <c r="U87" s="224">
        <f t="shared" si="78"/>
        <v>0.40014328977499997</v>
      </c>
      <c r="V87" s="224">
        <f t="shared" si="79"/>
        <v>0.40214400622387497</v>
      </c>
      <c r="W87" s="224">
        <f t="shared" si="80"/>
        <v>0.40415472625499432</v>
      </c>
      <c r="X87" s="224">
        <f t="shared" si="81"/>
        <v>0.40617549988626928</v>
      </c>
      <c r="Y87" s="224">
        <f t="shared" si="82"/>
        <v>0.40820637738570054</v>
      </c>
      <c r="Z87" s="225">
        <f t="shared" si="83"/>
        <v>100</v>
      </c>
      <c r="AA87" s="225">
        <f t="shared" si="84"/>
        <v>100</v>
      </c>
      <c r="AB87" s="225">
        <f t="shared" si="85"/>
        <v>100</v>
      </c>
      <c r="AC87" s="225">
        <f t="shared" si="86"/>
        <v>100</v>
      </c>
      <c r="AD87" s="225">
        <f t="shared" si="87"/>
        <v>100</v>
      </c>
    </row>
    <row r="88" spans="1:30">
      <c r="A88" s="246"/>
      <c r="B88" s="172"/>
      <c r="C88" s="172" t="s">
        <v>49</v>
      </c>
      <c r="D88" s="172"/>
      <c r="E88" s="243">
        <f>E92+E96</f>
        <v>6.5752429999999995</v>
      </c>
      <c r="F88" s="244">
        <f>F92+F96</f>
        <v>7.39381208</v>
      </c>
      <c r="G88" s="244">
        <f t="shared" ref="G88:O88" si="106">G92+G96</f>
        <v>8.3053923399999992</v>
      </c>
      <c r="H88" s="244">
        <f t="shared" si="106"/>
        <v>1.6162311899999999</v>
      </c>
      <c r="I88" s="244">
        <f t="shared" si="106"/>
        <v>2.39969499</v>
      </c>
      <c r="J88" s="244">
        <f t="shared" si="106"/>
        <v>2.2950312199999998</v>
      </c>
      <c r="K88" s="244">
        <f t="shared" si="106"/>
        <v>1.9944349400000001</v>
      </c>
      <c r="L88" s="244">
        <f t="shared" si="106"/>
        <v>8.3469193016999981</v>
      </c>
      <c r="M88" s="244">
        <f t="shared" si="106"/>
        <v>8.3886538982084975</v>
      </c>
      <c r="N88" s="244">
        <f t="shared" si="106"/>
        <v>8.4305971676995384</v>
      </c>
      <c r="O88" s="244">
        <f t="shared" si="106"/>
        <v>8.472750153538037</v>
      </c>
      <c r="P88" s="226">
        <f t="shared" ref="P88:S88" si="107">P92+P96</f>
        <v>0</v>
      </c>
      <c r="Q88" s="226">
        <f t="shared" si="107"/>
        <v>0</v>
      </c>
      <c r="R88" s="226">
        <f t="shared" si="107"/>
        <v>0</v>
      </c>
      <c r="S88" s="226">
        <f t="shared" si="107"/>
        <v>0</v>
      </c>
      <c r="T88" s="226">
        <f t="shared" ref="T88" si="108">T92+T96</f>
        <v>0</v>
      </c>
      <c r="U88" s="224">
        <f t="shared" si="78"/>
        <v>8.3053923399999992</v>
      </c>
      <c r="V88" s="224">
        <f t="shared" si="79"/>
        <v>8.3469193016999981</v>
      </c>
      <c r="W88" s="224">
        <f t="shared" si="80"/>
        <v>8.3886538982084975</v>
      </c>
      <c r="X88" s="224">
        <f t="shared" si="81"/>
        <v>8.4305971676995384</v>
      </c>
      <c r="Y88" s="224">
        <f t="shared" si="82"/>
        <v>8.472750153538037</v>
      </c>
      <c r="Z88" s="225">
        <f t="shared" si="83"/>
        <v>100</v>
      </c>
      <c r="AA88" s="225">
        <f t="shared" si="84"/>
        <v>100</v>
      </c>
      <c r="AB88" s="225">
        <f t="shared" si="85"/>
        <v>100</v>
      </c>
      <c r="AC88" s="225">
        <f t="shared" si="86"/>
        <v>100</v>
      </c>
      <c r="AD88" s="225">
        <f t="shared" si="87"/>
        <v>100</v>
      </c>
    </row>
    <row r="89" spans="1:30">
      <c r="A89" s="246"/>
      <c r="B89" s="172"/>
      <c r="C89" s="172" t="s">
        <v>374</v>
      </c>
      <c r="D89" s="172"/>
      <c r="E89" s="243"/>
      <c r="F89" s="247"/>
      <c r="G89" s="244">
        <f t="shared" si="59"/>
        <v>0</v>
      </c>
      <c r="H89" s="247"/>
      <c r="I89" s="247"/>
      <c r="J89" s="247"/>
      <c r="K89" s="247"/>
      <c r="L89" s="247"/>
      <c r="M89" s="247"/>
      <c r="N89" s="247"/>
      <c r="O89" s="247"/>
      <c r="P89" s="173"/>
      <c r="Q89" s="173"/>
      <c r="R89" s="173"/>
      <c r="S89" s="173"/>
      <c r="T89" s="173"/>
      <c r="U89" s="224">
        <f t="shared" si="78"/>
        <v>0</v>
      </c>
      <c r="V89" s="224">
        <f t="shared" si="79"/>
        <v>0</v>
      </c>
      <c r="W89" s="224">
        <f t="shared" si="80"/>
        <v>0</v>
      </c>
      <c r="X89" s="224">
        <f t="shared" si="81"/>
        <v>0</v>
      </c>
      <c r="Y89" s="224">
        <f t="shared" si="82"/>
        <v>0</v>
      </c>
      <c r="Z89" s="225" t="str">
        <f t="shared" si="83"/>
        <v/>
      </c>
      <c r="AA89" s="225" t="str">
        <f t="shared" si="84"/>
        <v/>
      </c>
      <c r="AB89" s="225" t="str">
        <f t="shared" si="85"/>
        <v/>
      </c>
      <c r="AC89" s="225" t="str">
        <f t="shared" si="86"/>
        <v/>
      </c>
      <c r="AD89" s="225" t="str">
        <f t="shared" si="87"/>
        <v/>
      </c>
    </row>
    <row r="90" spans="1:30">
      <c r="A90" s="246" t="s">
        <v>233</v>
      </c>
      <c r="B90" s="86" t="s">
        <v>241</v>
      </c>
      <c r="C90" s="172" t="s">
        <v>373</v>
      </c>
      <c r="D90" s="172"/>
      <c r="E90" s="243">
        <f>19.4568+19.83456+32.71393</f>
        <v>72.005290000000002</v>
      </c>
      <c r="F90" s="247">
        <f>75.00036</f>
        <v>75.000360000000001</v>
      </c>
      <c r="G90" s="244">
        <f t="shared" si="59"/>
        <v>84.186149999999998</v>
      </c>
      <c r="H90" s="247">
        <f>16.55302</f>
        <v>16.55302</v>
      </c>
      <c r="I90" s="247">
        <f>25.54001</f>
        <v>25.540009999999999</v>
      </c>
      <c r="J90" s="247">
        <f>22.54441</f>
        <v>22.544409999999999</v>
      </c>
      <c r="K90" s="247">
        <f>19.54871</f>
        <v>19.54871</v>
      </c>
      <c r="L90" s="247">
        <f>G90*1.005</f>
        <v>84.607080749999994</v>
      </c>
      <c r="M90" s="247">
        <f>L90*1.005</f>
        <v>85.030116153749987</v>
      </c>
      <c r="N90" s="247">
        <f t="shared" ref="N90:O90" si="109">M90*1.005</f>
        <v>85.45526673451873</v>
      </c>
      <c r="O90" s="247">
        <f t="shared" si="109"/>
        <v>85.88254306819131</v>
      </c>
      <c r="P90" s="173"/>
      <c r="Q90" s="173"/>
      <c r="R90" s="173"/>
      <c r="S90" s="173"/>
      <c r="T90" s="173"/>
      <c r="U90" s="224">
        <f t="shared" si="78"/>
        <v>84.186149999999998</v>
      </c>
      <c r="V90" s="224">
        <f t="shared" si="79"/>
        <v>84.607080749999994</v>
      </c>
      <c r="W90" s="224">
        <f t="shared" si="80"/>
        <v>85.030116153749987</v>
      </c>
      <c r="X90" s="224">
        <f t="shared" si="81"/>
        <v>85.45526673451873</v>
      </c>
      <c r="Y90" s="224">
        <f t="shared" si="82"/>
        <v>85.88254306819131</v>
      </c>
      <c r="Z90" s="225">
        <f t="shared" si="83"/>
        <v>100</v>
      </c>
      <c r="AA90" s="225">
        <f t="shared" si="84"/>
        <v>100</v>
      </c>
      <c r="AB90" s="225">
        <f t="shared" si="85"/>
        <v>100</v>
      </c>
      <c r="AC90" s="225">
        <f t="shared" si="86"/>
        <v>100</v>
      </c>
      <c r="AD90" s="225">
        <f t="shared" si="87"/>
        <v>100</v>
      </c>
    </row>
    <row r="91" spans="1:30">
      <c r="A91" s="246"/>
      <c r="B91" s="86"/>
      <c r="C91" s="172" t="s">
        <v>218</v>
      </c>
      <c r="D91" s="172"/>
      <c r="E91" s="243">
        <f>E90*0.76*1.49/1000</f>
        <v>8.1538790395999997E-2</v>
      </c>
      <c r="F91" s="244">
        <f>F90*0.85*1.45/1000</f>
        <v>9.2437943700000011E-2</v>
      </c>
      <c r="G91" s="244">
        <f>G90*0.85*1.45/1000</f>
        <v>0.10375942987499999</v>
      </c>
      <c r="H91" s="244">
        <f t="shared" ref="H91:T91" si="110">H90*0.85*1.45/1000</f>
        <v>2.0401597149999999E-2</v>
      </c>
      <c r="I91" s="244">
        <f t="shared" si="110"/>
        <v>3.1478062325E-2</v>
      </c>
      <c r="J91" s="244">
        <f t="shared" si="110"/>
        <v>2.7785985324999998E-2</v>
      </c>
      <c r="K91" s="244">
        <f t="shared" si="110"/>
        <v>2.4093785074999999E-2</v>
      </c>
      <c r="L91" s="244">
        <f t="shared" si="110"/>
        <v>0.10427822702437499</v>
      </c>
      <c r="M91" s="244">
        <f t="shared" si="110"/>
        <v>0.10479961815949686</v>
      </c>
      <c r="N91" s="244">
        <f t="shared" si="110"/>
        <v>0.10532361625029434</v>
      </c>
      <c r="O91" s="244">
        <f t="shared" si="110"/>
        <v>0.10585023433154578</v>
      </c>
      <c r="P91" s="226">
        <f t="shared" si="110"/>
        <v>0</v>
      </c>
      <c r="Q91" s="226">
        <f t="shared" si="110"/>
        <v>0</v>
      </c>
      <c r="R91" s="226">
        <f t="shared" si="110"/>
        <v>0</v>
      </c>
      <c r="S91" s="226">
        <f t="shared" si="110"/>
        <v>0</v>
      </c>
      <c r="T91" s="226">
        <f t="shared" si="110"/>
        <v>0</v>
      </c>
      <c r="U91" s="224">
        <f t="shared" si="78"/>
        <v>0.10375942987499999</v>
      </c>
      <c r="V91" s="224">
        <f t="shared" si="79"/>
        <v>0.10427822702437499</v>
      </c>
      <c r="W91" s="224">
        <f t="shared" si="80"/>
        <v>0.10479961815949686</v>
      </c>
      <c r="X91" s="224">
        <f t="shared" si="81"/>
        <v>0.10532361625029434</v>
      </c>
      <c r="Y91" s="224">
        <f t="shared" si="82"/>
        <v>0.10585023433154578</v>
      </c>
      <c r="Z91" s="225">
        <f t="shared" si="83"/>
        <v>100</v>
      </c>
      <c r="AA91" s="225">
        <f t="shared" si="84"/>
        <v>100</v>
      </c>
      <c r="AB91" s="225">
        <f t="shared" si="85"/>
        <v>100</v>
      </c>
      <c r="AC91" s="225">
        <f t="shared" si="86"/>
        <v>100</v>
      </c>
      <c r="AD91" s="225">
        <f t="shared" si="87"/>
        <v>100</v>
      </c>
    </row>
    <row r="92" spans="1:30">
      <c r="A92" s="246"/>
      <c r="B92" s="86"/>
      <c r="C92" s="172" t="s">
        <v>49</v>
      </c>
      <c r="D92" s="172"/>
      <c r="E92" s="243">
        <f>2.667+0.529+0.850796</f>
        <v>4.0467959999999996</v>
      </c>
      <c r="F92" s="247">
        <f>2.01851069784</f>
        <v>2.01851069784</v>
      </c>
      <c r="G92" s="244">
        <f t="shared" si="59"/>
        <v>2.26524459</v>
      </c>
      <c r="H92" s="247">
        <f>0.44385571</f>
        <v>0.44385571000000001</v>
      </c>
      <c r="I92" s="247">
        <f>0.68901399</f>
        <v>0.68901398999999997</v>
      </c>
      <c r="J92" s="247">
        <f>0.60819302</f>
        <v>0.60819301999999997</v>
      </c>
      <c r="K92" s="247">
        <f>0.52418187</f>
        <v>0.52418187000000005</v>
      </c>
      <c r="L92" s="247">
        <f>G92*1.005</f>
        <v>2.2765708129499997</v>
      </c>
      <c r="M92" s="247">
        <f>L92*1.005</f>
        <v>2.2879536670147496</v>
      </c>
      <c r="N92" s="247">
        <f t="shared" ref="N92:O92" si="111">M92*1.005</f>
        <v>2.2993934353498231</v>
      </c>
      <c r="O92" s="247">
        <f t="shared" si="111"/>
        <v>2.3108904025265722</v>
      </c>
      <c r="P92" s="173"/>
      <c r="Q92" s="173"/>
      <c r="R92" s="173"/>
      <c r="S92" s="173"/>
      <c r="T92" s="173"/>
      <c r="U92" s="224">
        <f t="shared" si="78"/>
        <v>2.26524459</v>
      </c>
      <c r="V92" s="224">
        <f t="shared" si="79"/>
        <v>2.2765708129499997</v>
      </c>
      <c r="W92" s="224">
        <f t="shared" si="80"/>
        <v>2.2879536670147496</v>
      </c>
      <c r="X92" s="224">
        <f t="shared" si="81"/>
        <v>2.2993934353498231</v>
      </c>
      <c r="Y92" s="224">
        <f t="shared" si="82"/>
        <v>2.3108904025265722</v>
      </c>
      <c r="Z92" s="225">
        <f t="shared" si="83"/>
        <v>100</v>
      </c>
      <c r="AA92" s="225">
        <f t="shared" si="84"/>
        <v>100</v>
      </c>
      <c r="AB92" s="225">
        <f t="shared" si="85"/>
        <v>100</v>
      </c>
      <c r="AC92" s="225">
        <f t="shared" si="86"/>
        <v>100</v>
      </c>
      <c r="AD92" s="225">
        <f t="shared" si="87"/>
        <v>100</v>
      </c>
    </row>
    <row r="93" spans="1:30">
      <c r="A93" s="246"/>
      <c r="B93" s="86"/>
      <c r="C93" s="172" t="s">
        <v>374</v>
      </c>
      <c r="D93" s="172"/>
      <c r="E93" s="243"/>
      <c r="F93" s="247"/>
      <c r="G93" s="244">
        <f t="shared" si="59"/>
        <v>0</v>
      </c>
      <c r="H93" s="247"/>
      <c r="I93" s="247"/>
      <c r="J93" s="247"/>
      <c r="K93" s="247"/>
      <c r="L93" s="247"/>
      <c r="M93" s="247"/>
      <c r="N93" s="247"/>
      <c r="O93" s="247"/>
      <c r="P93" s="173"/>
      <c r="Q93" s="173"/>
      <c r="R93" s="173"/>
      <c r="S93" s="173"/>
      <c r="T93" s="173"/>
      <c r="U93" s="224">
        <f t="shared" si="78"/>
        <v>0</v>
      </c>
      <c r="V93" s="224">
        <f t="shared" si="79"/>
        <v>0</v>
      </c>
      <c r="W93" s="224">
        <f t="shared" si="80"/>
        <v>0</v>
      </c>
      <c r="X93" s="224">
        <f t="shared" si="81"/>
        <v>0</v>
      </c>
      <c r="Y93" s="224">
        <f t="shared" si="82"/>
        <v>0</v>
      </c>
      <c r="Z93" s="225" t="str">
        <f t="shared" si="83"/>
        <v/>
      </c>
      <c r="AA93" s="225" t="str">
        <f t="shared" si="84"/>
        <v/>
      </c>
      <c r="AB93" s="225" t="str">
        <f t="shared" si="85"/>
        <v/>
      </c>
      <c r="AC93" s="225" t="str">
        <f t="shared" si="86"/>
        <v/>
      </c>
      <c r="AD93" s="225" t="str">
        <f t="shared" si="87"/>
        <v/>
      </c>
    </row>
    <row r="94" spans="1:30">
      <c r="A94" s="246" t="s">
        <v>234</v>
      </c>
      <c r="B94" s="86" t="s">
        <v>242</v>
      </c>
      <c r="C94" s="172" t="s">
        <v>375</v>
      </c>
      <c r="D94" s="172"/>
      <c r="E94" s="243">
        <f>102.1484+14.96292+62.38471</f>
        <v>179.49602999999999</v>
      </c>
      <c r="F94" s="247">
        <f>199.72624</f>
        <v>199.72623999999999</v>
      </c>
      <c r="G94" s="244">
        <f t="shared" si="59"/>
        <v>240.47372000000001</v>
      </c>
      <c r="H94" s="247">
        <f>44.1414</f>
        <v>44.141399999999997</v>
      </c>
      <c r="I94" s="247">
        <f>68.10689</f>
        <v>68.106890000000007</v>
      </c>
      <c r="J94" s="247">
        <f>67.1084</f>
        <v>67.108400000000003</v>
      </c>
      <c r="K94" s="247">
        <f>61.11703</f>
        <v>61.11703</v>
      </c>
      <c r="L94" s="247">
        <f>G94*1.005</f>
        <v>241.67608859999999</v>
      </c>
      <c r="M94" s="247">
        <f>L94*1.005</f>
        <v>242.88446904299997</v>
      </c>
      <c r="N94" s="247">
        <f t="shared" ref="N94:O94" si="112">M94*1.005</f>
        <v>244.09889138821495</v>
      </c>
      <c r="O94" s="247">
        <f t="shared" si="112"/>
        <v>245.31938584515601</v>
      </c>
      <c r="P94" s="173"/>
      <c r="Q94" s="173"/>
      <c r="R94" s="173"/>
      <c r="S94" s="173"/>
      <c r="T94" s="173"/>
      <c r="U94" s="224">
        <f t="shared" si="78"/>
        <v>240.47372000000001</v>
      </c>
      <c r="V94" s="224">
        <f t="shared" si="79"/>
        <v>241.67608859999999</v>
      </c>
      <c r="W94" s="224">
        <f t="shared" si="80"/>
        <v>242.88446904299997</v>
      </c>
      <c r="X94" s="224">
        <f t="shared" si="81"/>
        <v>244.09889138821495</v>
      </c>
      <c r="Y94" s="224">
        <f t="shared" si="82"/>
        <v>245.31938584515601</v>
      </c>
      <c r="Z94" s="225">
        <f t="shared" si="83"/>
        <v>100</v>
      </c>
      <c r="AA94" s="225">
        <f t="shared" si="84"/>
        <v>100</v>
      </c>
      <c r="AB94" s="225">
        <f t="shared" si="85"/>
        <v>100</v>
      </c>
      <c r="AC94" s="225">
        <f t="shared" si="86"/>
        <v>100</v>
      </c>
      <c r="AD94" s="225">
        <f t="shared" si="87"/>
        <v>100</v>
      </c>
    </row>
    <row r="95" spans="1:30">
      <c r="A95" s="246"/>
      <c r="B95" s="86"/>
      <c r="C95" s="172" t="s">
        <v>218</v>
      </c>
      <c r="D95" s="172"/>
      <c r="E95" s="243">
        <f>E94*0.76*1.49/1000</f>
        <v>0.20326130437200002</v>
      </c>
      <c r="F95" s="244">
        <f>F94*0.85*1.45/1000</f>
        <v>0.24616259079999997</v>
      </c>
      <c r="G95" s="244">
        <f>G94*0.85*1.45/1000</f>
        <v>0.29638385989999999</v>
      </c>
      <c r="H95" s="244">
        <f t="shared" ref="H95:T95" si="113">H94*0.85*1.45/1000</f>
        <v>5.4404275499999995E-2</v>
      </c>
      <c r="I95" s="244">
        <f t="shared" si="113"/>
        <v>8.3941741925000007E-2</v>
      </c>
      <c r="J95" s="244">
        <f t="shared" si="113"/>
        <v>8.2711103000000008E-2</v>
      </c>
      <c r="K95" s="244">
        <f t="shared" si="113"/>
        <v>7.5326739475000001E-2</v>
      </c>
      <c r="L95" s="244">
        <f t="shared" si="113"/>
        <v>0.29786577919949997</v>
      </c>
      <c r="M95" s="244">
        <f t="shared" si="113"/>
        <v>0.29935510809549748</v>
      </c>
      <c r="N95" s="244">
        <f t="shared" si="113"/>
        <v>0.30085188363597493</v>
      </c>
      <c r="O95" s="244">
        <f t="shared" si="113"/>
        <v>0.30235614305415476</v>
      </c>
      <c r="P95" s="226">
        <f t="shared" si="113"/>
        <v>0</v>
      </c>
      <c r="Q95" s="226">
        <f t="shared" si="113"/>
        <v>0</v>
      </c>
      <c r="R95" s="226">
        <f t="shared" si="113"/>
        <v>0</v>
      </c>
      <c r="S95" s="226">
        <f t="shared" si="113"/>
        <v>0</v>
      </c>
      <c r="T95" s="226">
        <f t="shared" si="113"/>
        <v>0</v>
      </c>
      <c r="U95" s="224">
        <f t="shared" si="78"/>
        <v>0.29638385989999999</v>
      </c>
      <c r="V95" s="224">
        <f t="shared" si="79"/>
        <v>0.29786577919949997</v>
      </c>
      <c r="W95" s="224">
        <f t="shared" si="80"/>
        <v>0.29935510809549748</v>
      </c>
      <c r="X95" s="224">
        <f t="shared" si="81"/>
        <v>0.30085188363597493</v>
      </c>
      <c r="Y95" s="224">
        <f t="shared" si="82"/>
        <v>0.30235614305415476</v>
      </c>
      <c r="Z95" s="225">
        <f t="shared" si="83"/>
        <v>100</v>
      </c>
      <c r="AA95" s="225">
        <f t="shared" si="84"/>
        <v>100</v>
      </c>
      <c r="AB95" s="225">
        <f t="shared" si="85"/>
        <v>100</v>
      </c>
      <c r="AC95" s="225">
        <f t="shared" si="86"/>
        <v>100</v>
      </c>
      <c r="AD95" s="225">
        <f t="shared" si="87"/>
        <v>100</v>
      </c>
    </row>
    <row r="96" spans="1:30">
      <c r="A96" s="246"/>
      <c r="B96" s="172"/>
      <c r="C96" s="172" t="s">
        <v>49</v>
      </c>
      <c r="D96" s="172"/>
      <c r="E96" s="243">
        <f>0.508+0.398+1.622447</f>
        <v>2.5284469999999999</v>
      </c>
      <c r="F96" s="247">
        <f>5.37530138216</f>
        <v>5.37530138216</v>
      </c>
      <c r="G96" s="244">
        <f t="shared" si="59"/>
        <v>6.0401477499999991</v>
      </c>
      <c r="H96" s="247">
        <f>1.17237548</f>
        <v>1.1723754799999999</v>
      </c>
      <c r="I96" s="247">
        <f>1.710681</f>
        <v>1.7106809999999999</v>
      </c>
      <c r="J96" s="247">
        <f>1.6868382</f>
        <v>1.6868382</v>
      </c>
      <c r="K96" s="247">
        <f>1.47025307</f>
        <v>1.4702530700000001</v>
      </c>
      <c r="L96" s="247">
        <f>G96*1.005</f>
        <v>6.0703484887499988</v>
      </c>
      <c r="M96" s="247">
        <f>L96*1.005</f>
        <v>6.1007002311937484</v>
      </c>
      <c r="N96" s="247">
        <f t="shared" ref="N96:O96" si="114">M96*1.005</f>
        <v>6.1312037323497162</v>
      </c>
      <c r="O96" s="247">
        <f t="shared" si="114"/>
        <v>6.1618597510114643</v>
      </c>
      <c r="P96" s="173"/>
      <c r="Q96" s="173"/>
      <c r="R96" s="173"/>
      <c r="S96" s="173"/>
      <c r="T96" s="173"/>
      <c r="U96" s="224">
        <f t="shared" si="78"/>
        <v>6.0401477499999991</v>
      </c>
      <c r="V96" s="224">
        <f t="shared" si="79"/>
        <v>6.0703484887499988</v>
      </c>
      <c r="W96" s="224">
        <f t="shared" si="80"/>
        <v>6.1007002311937484</v>
      </c>
      <c r="X96" s="224">
        <f t="shared" si="81"/>
        <v>6.1312037323497162</v>
      </c>
      <c r="Y96" s="224">
        <f t="shared" si="82"/>
        <v>6.1618597510114643</v>
      </c>
      <c r="Z96" s="225">
        <f t="shared" si="83"/>
        <v>100</v>
      </c>
      <c r="AA96" s="225">
        <f t="shared" si="84"/>
        <v>100</v>
      </c>
      <c r="AB96" s="225">
        <f t="shared" si="85"/>
        <v>100</v>
      </c>
      <c r="AC96" s="225">
        <f t="shared" si="86"/>
        <v>100</v>
      </c>
      <c r="AD96" s="225">
        <f t="shared" si="87"/>
        <v>100</v>
      </c>
    </row>
    <row r="97" spans="1:30">
      <c r="A97" s="248"/>
      <c r="B97" s="178"/>
      <c r="C97" s="172" t="s">
        <v>374</v>
      </c>
      <c r="D97" s="172"/>
      <c r="E97" s="243"/>
      <c r="F97" s="247"/>
      <c r="G97" s="244">
        <f t="shared" si="59"/>
        <v>0</v>
      </c>
      <c r="H97" s="247"/>
      <c r="I97" s="247"/>
      <c r="J97" s="247"/>
      <c r="K97" s="247"/>
      <c r="L97" s="247"/>
      <c r="M97" s="247"/>
      <c r="N97" s="247"/>
      <c r="O97" s="247"/>
      <c r="P97" s="173"/>
      <c r="Q97" s="173"/>
      <c r="R97" s="173"/>
      <c r="S97" s="173"/>
      <c r="T97" s="173"/>
      <c r="U97" s="224">
        <f t="shared" si="78"/>
        <v>0</v>
      </c>
      <c r="V97" s="224">
        <f t="shared" si="79"/>
        <v>0</v>
      </c>
      <c r="W97" s="224">
        <f t="shared" si="80"/>
        <v>0</v>
      </c>
      <c r="X97" s="224">
        <f t="shared" si="81"/>
        <v>0</v>
      </c>
      <c r="Y97" s="224">
        <f t="shared" si="82"/>
        <v>0</v>
      </c>
      <c r="Z97" s="225" t="str">
        <f t="shared" si="83"/>
        <v/>
      </c>
      <c r="AA97" s="225" t="str">
        <f t="shared" si="84"/>
        <v/>
      </c>
      <c r="AB97" s="225" t="str">
        <f t="shared" si="85"/>
        <v/>
      </c>
      <c r="AC97" s="225" t="str">
        <f t="shared" si="86"/>
        <v/>
      </c>
      <c r="AD97" s="225" t="str">
        <f t="shared" si="87"/>
        <v/>
      </c>
    </row>
    <row r="98" spans="1:30">
      <c r="A98" s="248"/>
      <c r="B98" s="178"/>
      <c r="C98" s="172" t="s">
        <v>250</v>
      </c>
      <c r="D98" s="172"/>
      <c r="E98" s="243"/>
      <c r="F98" s="247"/>
      <c r="G98" s="244">
        <f t="shared" si="59"/>
        <v>0</v>
      </c>
      <c r="H98" s="247"/>
      <c r="I98" s="247"/>
      <c r="J98" s="247"/>
      <c r="K98" s="247"/>
      <c r="L98" s="247"/>
      <c r="M98" s="247"/>
      <c r="N98" s="247"/>
      <c r="O98" s="247"/>
      <c r="P98" s="173"/>
      <c r="Q98" s="173"/>
      <c r="R98" s="173"/>
      <c r="S98" s="173"/>
      <c r="T98" s="173"/>
      <c r="U98" s="224">
        <f t="shared" si="78"/>
        <v>0</v>
      </c>
      <c r="V98" s="224">
        <f t="shared" si="79"/>
        <v>0</v>
      </c>
      <c r="W98" s="224">
        <f t="shared" si="80"/>
        <v>0</v>
      </c>
      <c r="X98" s="224">
        <f t="shared" si="81"/>
        <v>0</v>
      </c>
      <c r="Y98" s="224">
        <f t="shared" si="82"/>
        <v>0</v>
      </c>
      <c r="Z98" s="225" t="str">
        <f t="shared" si="83"/>
        <v/>
      </c>
      <c r="AA98" s="225" t="str">
        <f t="shared" si="84"/>
        <v/>
      </c>
      <c r="AB98" s="225" t="str">
        <f t="shared" si="85"/>
        <v/>
      </c>
      <c r="AC98" s="225" t="str">
        <f t="shared" si="86"/>
        <v/>
      </c>
      <c r="AD98" s="225" t="str">
        <f t="shared" si="87"/>
        <v/>
      </c>
    </row>
    <row r="99" spans="1:30">
      <c r="A99" s="340" t="s">
        <v>238</v>
      </c>
      <c r="B99" s="343" t="s">
        <v>243</v>
      </c>
      <c r="C99" s="172" t="s">
        <v>218</v>
      </c>
      <c r="D99" s="172"/>
      <c r="E99" s="172"/>
      <c r="F99" s="226">
        <f>F102+F105</f>
        <v>0</v>
      </c>
      <c r="G99" s="226">
        <f t="shared" ref="G99:O99" si="115">G102+G105</f>
        <v>0</v>
      </c>
      <c r="H99" s="226">
        <f t="shared" si="115"/>
        <v>0</v>
      </c>
      <c r="I99" s="226">
        <f t="shared" si="115"/>
        <v>0</v>
      </c>
      <c r="J99" s="226">
        <f t="shared" si="115"/>
        <v>0</v>
      </c>
      <c r="K99" s="226">
        <f t="shared" si="115"/>
        <v>0</v>
      </c>
      <c r="L99" s="226">
        <f t="shared" si="115"/>
        <v>0</v>
      </c>
      <c r="M99" s="226">
        <f t="shared" si="115"/>
        <v>0</v>
      </c>
      <c r="N99" s="226">
        <f t="shared" si="115"/>
        <v>0</v>
      </c>
      <c r="O99" s="226">
        <f t="shared" si="115"/>
        <v>0</v>
      </c>
      <c r="P99" s="226">
        <f t="shared" ref="P99:S99" si="116">P102+P105</f>
        <v>0</v>
      </c>
      <c r="Q99" s="226">
        <f t="shared" si="116"/>
        <v>0</v>
      </c>
      <c r="R99" s="226">
        <f t="shared" si="116"/>
        <v>0</v>
      </c>
      <c r="S99" s="226">
        <f t="shared" si="116"/>
        <v>0</v>
      </c>
      <c r="T99" s="226">
        <f t="shared" ref="T99" si="117">T102+T105</f>
        <v>0</v>
      </c>
      <c r="U99" s="224">
        <f t="shared" si="78"/>
        <v>0</v>
      </c>
      <c r="V99" s="224">
        <f t="shared" si="79"/>
        <v>0</v>
      </c>
      <c r="W99" s="224">
        <f t="shared" si="80"/>
        <v>0</v>
      </c>
      <c r="X99" s="224">
        <f t="shared" si="81"/>
        <v>0</v>
      </c>
      <c r="Y99" s="224">
        <f t="shared" si="82"/>
        <v>0</v>
      </c>
      <c r="Z99" s="225" t="str">
        <f t="shared" si="83"/>
        <v/>
      </c>
      <c r="AA99" s="225" t="str">
        <f t="shared" si="84"/>
        <v/>
      </c>
      <c r="AB99" s="225" t="str">
        <f t="shared" si="85"/>
        <v/>
      </c>
      <c r="AC99" s="225" t="str">
        <f t="shared" si="86"/>
        <v/>
      </c>
      <c r="AD99" s="225" t="str">
        <f t="shared" si="87"/>
        <v/>
      </c>
    </row>
    <row r="100" spans="1:30" ht="27.75" customHeight="1">
      <c r="A100" s="340"/>
      <c r="B100" s="344"/>
      <c r="C100" s="172" t="s">
        <v>49</v>
      </c>
      <c r="D100" s="172"/>
      <c r="E100" s="172"/>
      <c r="F100" s="226">
        <f>F103+F106</f>
        <v>0</v>
      </c>
      <c r="G100" s="226">
        <f t="shared" ref="G100:O100" si="118">G103+G106</f>
        <v>0</v>
      </c>
      <c r="H100" s="226">
        <f t="shared" si="118"/>
        <v>0</v>
      </c>
      <c r="I100" s="226">
        <f t="shared" si="118"/>
        <v>0</v>
      </c>
      <c r="J100" s="226">
        <f t="shared" si="118"/>
        <v>0</v>
      </c>
      <c r="K100" s="226">
        <f t="shared" si="118"/>
        <v>0</v>
      </c>
      <c r="L100" s="226">
        <f t="shared" si="118"/>
        <v>0</v>
      </c>
      <c r="M100" s="226">
        <f t="shared" si="118"/>
        <v>0</v>
      </c>
      <c r="N100" s="226">
        <f t="shared" si="118"/>
        <v>0</v>
      </c>
      <c r="O100" s="226">
        <f t="shared" si="118"/>
        <v>0</v>
      </c>
      <c r="P100" s="226">
        <f t="shared" ref="P100:S100" si="119">P103+P106</f>
        <v>0</v>
      </c>
      <c r="Q100" s="226">
        <f t="shared" si="119"/>
        <v>0</v>
      </c>
      <c r="R100" s="226">
        <f t="shared" si="119"/>
        <v>0</v>
      </c>
      <c r="S100" s="226">
        <f t="shared" si="119"/>
        <v>0</v>
      </c>
      <c r="T100" s="226">
        <f t="shared" ref="T100" si="120">T103+T106</f>
        <v>0</v>
      </c>
      <c r="U100" s="224">
        <f t="shared" si="78"/>
        <v>0</v>
      </c>
      <c r="V100" s="224">
        <f t="shared" si="79"/>
        <v>0</v>
      </c>
      <c r="W100" s="224">
        <f t="shared" si="80"/>
        <v>0</v>
      </c>
      <c r="X100" s="224">
        <f t="shared" si="81"/>
        <v>0</v>
      </c>
      <c r="Y100" s="224">
        <f t="shared" si="82"/>
        <v>0</v>
      </c>
      <c r="Z100" s="225" t="str">
        <f t="shared" si="83"/>
        <v/>
      </c>
      <c r="AA100" s="225" t="str">
        <f t="shared" si="84"/>
        <v/>
      </c>
      <c r="AB100" s="225" t="str">
        <f t="shared" si="85"/>
        <v/>
      </c>
      <c r="AC100" s="225" t="str">
        <f t="shared" si="86"/>
        <v/>
      </c>
      <c r="AD100" s="225" t="str">
        <f t="shared" si="87"/>
        <v/>
      </c>
    </row>
    <row r="101" spans="1:30">
      <c r="A101" s="340" t="s">
        <v>245</v>
      </c>
      <c r="B101" s="343" t="s">
        <v>237</v>
      </c>
      <c r="C101" s="172" t="s">
        <v>244</v>
      </c>
      <c r="D101" s="172"/>
      <c r="E101" s="172"/>
      <c r="F101" s="39"/>
      <c r="G101" s="226">
        <f t="shared" si="59"/>
        <v>0</v>
      </c>
      <c r="H101" s="39"/>
      <c r="I101" s="39"/>
      <c r="J101" s="39"/>
      <c r="K101" s="39"/>
      <c r="L101" s="39"/>
      <c r="M101" s="39"/>
      <c r="N101" s="39"/>
      <c r="O101" s="39"/>
      <c r="P101" s="173"/>
      <c r="Q101" s="173"/>
      <c r="R101" s="173"/>
      <c r="S101" s="173"/>
      <c r="T101" s="173"/>
      <c r="U101" s="224">
        <f t="shared" si="78"/>
        <v>0</v>
      </c>
      <c r="V101" s="224">
        <f t="shared" si="79"/>
        <v>0</v>
      </c>
      <c r="W101" s="224">
        <f t="shared" si="80"/>
        <v>0</v>
      </c>
      <c r="X101" s="224">
        <f t="shared" si="81"/>
        <v>0</v>
      </c>
      <c r="Y101" s="224">
        <f t="shared" si="82"/>
        <v>0</v>
      </c>
      <c r="Z101" s="225" t="str">
        <f t="shared" si="83"/>
        <v/>
      </c>
      <c r="AA101" s="225" t="str">
        <f t="shared" si="84"/>
        <v/>
      </c>
      <c r="AB101" s="225" t="str">
        <f t="shared" si="85"/>
        <v/>
      </c>
      <c r="AC101" s="225" t="str">
        <f t="shared" si="86"/>
        <v/>
      </c>
      <c r="AD101" s="225" t="str">
        <f t="shared" si="87"/>
        <v/>
      </c>
    </row>
    <row r="102" spans="1:30">
      <c r="A102" s="340"/>
      <c r="B102" s="348"/>
      <c r="C102" s="172" t="s">
        <v>218</v>
      </c>
      <c r="D102" s="172"/>
      <c r="E102" s="172"/>
      <c r="F102" s="226">
        <f t="shared" ref="F102:T102" si="121">1.154*F101/1000</f>
        <v>0</v>
      </c>
      <c r="G102" s="226">
        <f t="shared" si="121"/>
        <v>0</v>
      </c>
      <c r="H102" s="226">
        <f t="shared" si="121"/>
        <v>0</v>
      </c>
      <c r="I102" s="226">
        <f t="shared" si="121"/>
        <v>0</v>
      </c>
      <c r="J102" s="226">
        <f t="shared" si="121"/>
        <v>0</v>
      </c>
      <c r="K102" s="226">
        <f t="shared" si="121"/>
        <v>0</v>
      </c>
      <c r="L102" s="226">
        <f t="shared" si="121"/>
        <v>0</v>
      </c>
      <c r="M102" s="226">
        <f t="shared" si="121"/>
        <v>0</v>
      </c>
      <c r="N102" s="226">
        <f t="shared" si="121"/>
        <v>0</v>
      </c>
      <c r="O102" s="226">
        <f t="shared" si="121"/>
        <v>0</v>
      </c>
      <c r="P102" s="226">
        <f t="shared" si="121"/>
        <v>0</v>
      </c>
      <c r="Q102" s="226">
        <f t="shared" si="121"/>
        <v>0</v>
      </c>
      <c r="R102" s="226">
        <f t="shared" si="121"/>
        <v>0</v>
      </c>
      <c r="S102" s="226">
        <f t="shared" si="121"/>
        <v>0</v>
      </c>
      <c r="T102" s="226">
        <f t="shared" si="121"/>
        <v>0</v>
      </c>
      <c r="U102" s="224">
        <f t="shared" si="78"/>
        <v>0</v>
      </c>
      <c r="V102" s="224">
        <f t="shared" si="79"/>
        <v>0</v>
      </c>
      <c r="W102" s="224">
        <f t="shared" si="80"/>
        <v>0</v>
      </c>
      <c r="X102" s="224">
        <f t="shared" si="81"/>
        <v>0</v>
      </c>
      <c r="Y102" s="224">
        <f t="shared" si="82"/>
        <v>0</v>
      </c>
      <c r="Z102" s="225" t="str">
        <f t="shared" si="83"/>
        <v/>
      </c>
      <c r="AA102" s="225" t="str">
        <f t="shared" si="84"/>
        <v/>
      </c>
      <c r="AB102" s="225" t="str">
        <f t="shared" si="85"/>
        <v/>
      </c>
      <c r="AC102" s="225" t="str">
        <f t="shared" si="86"/>
        <v/>
      </c>
      <c r="AD102" s="225" t="str">
        <f t="shared" si="87"/>
        <v/>
      </c>
    </row>
    <row r="103" spans="1:30">
      <c r="A103" s="340"/>
      <c r="B103" s="344"/>
      <c r="C103" s="172" t="s">
        <v>49</v>
      </c>
      <c r="D103" s="172"/>
      <c r="E103" s="172"/>
      <c r="F103" s="39"/>
      <c r="G103" s="226">
        <f t="shared" si="59"/>
        <v>0</v>
      </c>
      <c r="H103" s="39"/>
      <c r="I103" s="39"/>
      <c r="J103" s="39"/>
      <c r="K103" s="39"/>
      <c r="L103" s="39"/>
      <c r="M103" s="39"/>
      <c r="N103" s="39"/>
      <c r="O103" s="39"/>
      <c r="P103" s="173"/>
      <c r="Q103" s="173"/>
      <c r="R103" s="173"/>
      <c r="S103" s="173"/>
      <c r="T103" s="173"/>
      <c r="U103" s="224">
        <f t="shared" si="78"/>
        <v>0</v>
      </c>
      <c r="V103" s="224">
        <f t="shared" si="79"/>
        <v>0</v>
      </c>
      <c r="W103" s="224">
        <f t="shared" si="80"/>
        <v>0</v>
      </c>
      <c r="X103" s="224">
        <f t="shared" si="81"/>
        <v>0</v>
      </c>
      <c r="Y103" s="224">
        <f t="shared" si="82"/>
        <v>0</v>
      </c>
      <c r="Z103" s="225" t="str">
        <f t="shared" si="83"/>
        <v/>
      </c>
      <c r="AA103" s="225" t="str">
        <f t="shared" si="84"/>
        <v/>
      </c>
      <c r="AB103" s="225" t="str">
        <f t="shared" si="85"/>
        <v/>
      </c>
      <c r="AC103" s="225" t="str">
        <f t="shared" si="86"/>
        <v/>
      </c>
      <c r="AD103" s="225" t="str">
        <f t="shared" si="87"/>
        <v/>
      </c>
    </row>
    <row r="104" spans="1:30">
      <c r="A104" s="340" t="s">
        <v>239</v>
      </c>
      <c r="B104" s="343" t="s">
        <v>236</v>
      </c>
      <c r="C104" s="177" t="s">
        <v>378</v>
      </c>
      <c r="D104" s="172"/>
      <c r="E104" s="172"/>
      <c r="F104" s="39"/>
      <c r="G104" s="226">
        <f t="shared" si="59"/>
        <v>0</v>
      </c>
      <c r="H104" s="39"/>
      <c r="I104" s="39"/>
      <c r="J104" s="39"/>
      <c r="K104" s="39"/>
      <c r="L104" s="39"/>
      <c r="M104" s="39"/>
      <c r="N104" s="39"/>
      <c r="O104" s="39"/>
      <c r="P104" s="173"/>
      <c r="Q104" s="173"/>
      <c r="R104" s="173"/>
      <c r="S104" s="173"/>
      <c r="T104" s="173"/>
      <c r="U104" s="224">
        <f t="shared" si="78"/>
        <v>0</v>
      </c>
      <c r="V104" s="224">
        <f t="shared" si="79"/>
        <v>0</v>
      </c>
      <c r="W104" s="224">
        <f t="shared" si="80"/>
        <v>0</v>
      </c>
      <c r="X104" s="224">
        <f t="shared" si="81"/>
        <v>0</v>
      </c>
      <c r="Y104" s="224">
        <f t="shared" si="82"/>
        <v>0</v>
      </c>
      <c r="Z104" s="225" t="str">
        <f t="shared" si="83"/>
        <v/>
      </c>
      <c r="AA104" s="225" t="str">
        <f t="shared" si="84"/>
        <v/>
      </c>
      <c r="AB104" s="225" t="str">
        <f t="shared" si="85"/>
        <v/>
      </c>
      <c r="AC104" s="225" t="str">
        <f t="shared" si="86"/>
        <v/>
      </c>
      <c r="AD104" s="225" t="str">
        <f t="shared" si="87"/>
        <v/>
      </c>
    </row>
    <row r="105" spans="1:30">
      <c r="A105" s="340"/>
      <c r="B105" s="348"/>
      <c r="C105" s="172" t="s">
        <v>50</v>
      </c>
      <c r="D105" s="172"/>
      <c r="E105" s="172"/>
      <c r="F105" s="226">
        <f>0.12*F104</f>
        <v>0</v>
      </c>
      <c r="G105" s="226">
        <f>0.12*G104</f>
        <v>0</v>
      </c>
      <c r="H105" s="226">
        <f t="shared" ref="H105:T105" si="122">0.12*H104</f>
        <v>0</v>
      </c>
      <c r="I105" s="226">
        <f t="shared" si="122"/>
        <v>0</v>
      </c>
      <c r="J105" s="226">
        <f t="shared" si="122"/>
        <v>0</v>
      </c>
      <c r="K105" s="226">
        <f t="shared" si="122"/>
        <v>0</v>
      </c>
      <c r="L105" s="226">
        <f t="shared" si="122"/>
        <v>0</v>
      </c>
      <c r="M105" s="226">
        <f t="shared" si="122"/>
        <v>0</v>
      </c>
      <c r="N105" s="226">
        <f t="shared" si="122"/>
        <v>0</v>
      </c>
      <c r="O105" s="226">
        <f t="shared" si="122"/>
        <v>0</v>
      </c>
      <c r="P105" s="226">
        <f t="shared" si="122"/>
        <v>0</v>
      </c>
      <c r="Q105" s="226">
        <f t="shared" si="122"/>
        <v>0</v>
      </c>
      <c r="R105" s="226">
        <f t="shared" si="122"/>
        <v>0</v>
      </c>
      <c r="S105" s="226">
        <f t="shared" si="122"/>
        <v>0</v>
      </c>
      <c r="T105" s="226">
        <f t="shared" si="122"/>
        <v>0</v>
      </c>
      <c r="U105" s="224">
        <f t="shared" si="78"/>
        <v>0</v>
      </c>
      <c r="V105" s="224">
        <f t="shared" si="79"/>
        <v>0</v>
      </c>
      <c r="W105" s="224">
        <f t="shared" si="80"/>
        <v>0</v>
      </c>
      <c r="X105" s="224">
        <f t="shared" si="81"/>
        <v>0</v>
      </c>
      <c r="Y105" s="224">
        <f t="shared" si="82"/>
        <v>0</v>
      </c>
      <c r="Z105" s="225" t="str">
        <f t="shared" si="83"/>
        <v/>
      </c>
      <c r="AA105" s="225" t="str">
        <f t="shared" si="84"/>
        <v/>
      </c>
      <c r="AB105" s="225" t="str">
        <f t="shared" si="85"/>
        <v/>
      </c>
      <c r="AC105" s="225" t="str">
        <f t="shared" si="86"/>
        <v/>
      </c>
      <c r="AD105" s="225" t="str">
        <f t="shared" si="87"/>
        <v/>
      </c>
    </row>
    <row r="106" spans="1:30">
      <c r="A106" s="340"/>
      <c r="B106" s="344"/>
      <c r="C106" s="172" t="s">
        <v>49</v>
      </c>
      <c r="D106" s="172"/>
      <c r="E106" s="172"/>
      <c r="F106" s="39"/>
      <c r="G106" s="226">
        <f t="shared" si="59"/>
        <v>0</v>
      </c>
      <c r="H106" s="39"/>
      <c r="I106" s="39"/>
      <c r="J106" s="39"/>
      <c r="K106" s="39"/>
      <c r="L106" s="39"/>
      <c r="M106" s="39"/>
      <c r="N106" s="39"/>
      <c r="O106" s="39"/>
      <c r="P106" s="173"/>
      <c r="Q106" s="173"/>
      <c r="R106" s="173"/>
      <c r="S106" s="173"/>
      <c r="T106" s="173"/>
      <c r="U106" s="224">
        <f t="shared" si="78"/>
        <v>0</v>
      </c>
      <c r="V106" s="224">
        <f t="shared" si="79"/>
        <v>0</v>
      </c>
      <c r="W106" s="224">
        <f t="shared" si="80"/>
        <v>0</v>
      </c>
      <c r="X106" s="224">
        <f t="shared" si="81"/>
        <v>0</v>
      </c>
      <c r="Y106" s="224">
        <f t="shared" si="82"/>
        <v>0</v>
      </c>
      <c r="Z106" s="225" t="str">
        <f t="shared" si="83"/>
        <v/>
      </c>
      <c r="AA106" s="225" t="str">
        <f t="shared" si="84"/>
        <v/>
      </c>
      <c r="AB106" s="225" t="str">
        <f t="shared" si="85"/>
        <v/>
      </c>
      <c r="AC106" s="225" t="str">
        <f t="shared" si="86"/>
        <v/>
      </c>
      <c r="AD106" s="225" t="str">
        <f t="shared" si="87"/>
        <v/>
      </c>
    </row>
  </sheetData>
  <mergeCells count="54">
    <mergeCell ref="B99:B100"/>
    <mergeCell ref="A99:A100"/>
    <mergeCell ref="A101:A103"/>
    <mergeCell ref="A104:A106"/>
    <mergeCell ref="B62:B63"/>
    <mergeCell ref="A62:A63"/>
    <mergeCell ref="A70:A72"/>
    <mergeCell ref="A66:A67"/>
    <mergeCell ref="B101:B103"/>
    <mergeCell ref="B104:B106"/>
    <mergeCell ref="B70:B72"/>
    <mergeCell ref="B66:B67"/>
    <mergeCell ref="B68:B69"/>
    <mergeCell ref="A68:A69"/>
    <mergeCell ref="B64:B65"/>
    <mergeCell ref="A38:A39"/>
    <mergeCell ref="B44:B45"/>
    <mergeCell ref="A44:A45"/>
    <mergeCell ref="B42:B43"/>
    <mergeCell ref="A40:A41"/>
    <mergeCell ref="A42:A43"/>
    <mergeCell ref="B40:B41"/>
    <mergeCell ref="A48:A51"/>
    <mergeCell ref="A52:A55"/>
    <mergeCell ref="A56:A58"/>
    <mergeCell ref="A59:A61"/>
    <mergeCell ref="A64:A65"/>
    <mergeCell ref="Z4:AD4"/>
    <mergeCell ref="B48:B51"/>
    <mergeCell ref="B52:B55"/>
    <mergeCell ref="A22:A25"/>
    <mergeCell ref="A26:A29"/>
    <mergeCell ref="A30:A33"/>
    <mergeCell ref="A34:A37"/>
    <mergeCell ref="P4:T4"/>
    <mergeCell ref="B18:B21"/>
    <mergeCell ref="A18:A21"/>
    <mergeCell ref="A4:A5"/>
    <mergeCell ref="B4:B5"/>
    <mergeCell ref="C4:C5"/>
    <mergeCell ref="F4:F5"/>
    <mergeCell ref="D4:D5"/>
    <mergeCell ref="A46:A47"/>
    <mergeCell ref="B56:B58"/>
    <mergeCell ref="B59:B61"/>
    <mergeCell ref="U4:Y4"/>
    <mergeCell ref="B34:B37"/>
    <mergeCell ref="B46:B47"/>
    <mergeCell ref="B22:B25"/>
    <mergeCell ref="B26:B29"/>
    <mergeCell ref="B30:B33"/>
    <mergeCell ref="G4:O4"/>
    <mergeCell ref="E4:E5"/>
    <mergeCell ref="B38:B39"/>
  </mergeCells>
  <dataValidations count="1">
    <dataValidation type="decimal" allowBlank="1" showInputMessage="1" showErrorMessage="1" sqref="I2">
      <formula1>0</formula1>
      <formula2>1000000</formula2>
    </dataValidation>
  </dataValidations>
  <pageMargins left="0.70866141732283472" right="0.70866141732283472" top="0.74803149606299213" bottom="0.74803149606299213" header="0.31496062992125984" footer="0.31496062992125984"/>
  <pageSetup paperSize="9" scale="36" orientation="landscape" r:id="rId1"/>
  <rowBreaks count="2" manualBreakCount="2">
    <brk id="37" max="16383" man="1"/>
    <brk id="89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2:CZ134"/>
  <sheetViews>
    <sheetView view="pageBreakPreview" topLeftCell="P1" zoomScale="70" zoomScaleSheetLayoutView="70" workbookViewId="0">
      <selection activeCell="AA20" sqref="AA20"/>
    </sheetView>
  </sheetViews>
  <sheetFormatPr defaultRowHeight="18.75" outlineLevelCol="1"/>
  <cols>
    <col min="1" max="1" width="8.140625" style="47" hidden="1" customWidth="1"/>
    <col min="2" max="2" width="8.5703125" style="47" hidden="1" customWidth="1"/>
    <col min="3" max="3" width="7" style="50" customWidth="1"/>
    <col min="4" max="4" width="45.5703125" style="47" customWidth="1"/>
    <col min="5" max="5" width="15.28515625" style="47" customWidth="1"/>
    <col min="6" max="7" width="21.7109375" style="47" customWidth="1"/>
    <col min="8" max="8" width="20.140625" style="47" customWidth="1"/>
    <col min="9" max="9" width="22.140625" style="47" customWidth="1" outlineLevel="1"/>
    <col min="10" max="10" width="24.140625" style="47" customWidth="1" outlineLevel="1"/>
    <col min="11" max="12" width="22.7109375" style="47" customWidth="1" outlineLevel="1"/>
    <col min="13" max="13" width="22.7109375" style="47" customWidth="1"/>
    <col min="14" max="14" width="32.28515625" style="47" customWidth="1"/>
    <col min="15" max="15" width="20.28515625" style="47" customWidth="1"/>
    <col min="16" max="16" width="26.7109375" style="47" customWidth="1"/>
    <col min="17" max="22" width="8.42578125" style="47" hidden="1" customWidth="1"/>
    <col min="23" max="23" width="20.5703125" style="47" customWidth="1"/>
    <col min="24" max="24" width="18.85546875" style="47" customWidth="1"/>
    <col min="25" max="25" width="21.7109375" style="47" customWidth="1"/>
    <col min="26" max="26" width="17.85546875" style="47" customWidth="1"/>
    <col min="27" max="27" width="13.85546875" style="47" customWidth="1"/>
    <col min="28" max="28" width="18.140625" style="47" customWidth="1" outlineLevel="1"/>
    <col min="29" max="30" width="13.85546875" style="47" customWidth="1" outlineLevel="1"/>
    <col min="31" max="31" width="28.85546875" style="47" customWidth="1" outlineLevel="1"/>
    <col min="32" max="32" width="15.5703125" style="47" customWidth="1" outlineLevel="1"/>
    <col min="33" max="33" width="25.85546875" style="47" customWidth="1" outlineLevel="1"/>
    <col min="34" max="34" width="39.28515625" style="47" customWidth="1" outlineLevel="1"/>
    <col min="35" max="35" width="14.85546875" style="47" customWidth="1" outlineLevel="1"/>
    <col min="36" max="36" width="16.28515625" style="47" customWidth="1" outlineLevel="1"/>
    <col min="37" max="37" width="24.5703125" style="47" customWidth="1" outlineLevel="1"/>
    <col min="38" max="38" width="17.28515625" style="47" customWidth="1" outlineLevel="1"/>
    <col min="39" max="39" width="13.85546875" style="47" customWidth="1" outlineLevel="1"/>
    <col min="40" max="40" width="26.42578125" style="47" customWidth="1"/>
    <col min="41" max="41" width="15.42578125" style="47" customWidth="1"/>
    <col min="42" max="42" width="16" style="47" customWidth="1"/>
    <col min="43" max="43" width="31.140625" style="47" customWidth="1"/>
    <col min="44" max="44" width="15.7109375" style="47" customWidth="1"/>
    <col min="45" max="45" width="17.28515625" style="47" customWidth="1"/>
    <col min="46" max="46" width="30" style="47" customWidth="1"/>
    <col min="47" max="47" width="13.85546875" style="47" customWidth="1"/>
    <col min="48" max="48" width="16.5703125" style="47" customWidth="1"/>
    <col min="49" max="49" width="27.140625" style="47" customWidth="1"/>
    <col min="50" max="50" width="15.85546875" style="47" customWidth="1"/>
    <col min="51" max="51" width="16.85546875" style="47" customWidth="1"/>
    <col min="52" max="52" width="18.85546875" style="47" customWidth="1"/>
    <col min="53" max="53" width="15" style="47" customWidth="1"/>
    <col min="54" max="54" width="13" style="47" customWidth="1"/>
    <col min="55" max="55" width="14.42578125" style="47" customWidth="1"/>
    <col min="56" max="56" width="19.28515625" style="47" customWidth="1"/>
    <col min="57" max="57" width="13.42578125" style="47" customWidth="1"/>
    <col min="58" max="58" width="14.140625" style="47" customWidth="1"/>
    <col min="59" max="59" width="14.85546875" style="47" customWidth="1"/>
    <col min="60" max="60" width="15.140625" style="47" customWidth="1"/>
    <col min="61" max="61" width="14.5703125" style="47" customWidth="1"/>
    <col min="62" max="67" width="12.140625" style="47" hidden="1" customWidth="1"/>
    <col min="68" max="68" width="16.85546875" style="47" customWidth="1"/>
    <col min="69" max="70" width="19.7109375" style="47" customWidth="1"/>
    <col min="71" max="71" width="9.140625" style="47"/>
    <col min="72" max="72" width="14.7109375" style="47" bestFit="1" customWidth="1"/>
    <col min="73" max="73" width="9.140625" style="47"/>
    <col min="74" max="74" width="11.5703125" style="47" customWidth="1"/>
    <col min="75" max="75" width="11.140625" style="47" customWidth="1"/>
    <col min="76" max="76" width="13.28515625" style="47" bestFit="1" customWidth="1"/>
    <col min="77" max="89" width="9.140625" style="47"/>
    <col min="90" max="90" width="10.5703125" style="47" bestFit="1" customWidth="1"/>
    <col min="91" max="16384" width="9.140625" style="47"/>
  </cols>
  <sheetData>
    <row r="2" spans="1:104" ht="23.25">
      <c r="A2" s="289"/>
      <c r="B2" s="289"/>
      <c r="C2" s="289"/>
      <c r="D2" s="289" t="s">
        <v>220</v>
      </c>
      <c r="E2" s="289"/>
      <c r="F2" s="289"/>
      <c r="G2" s="289"/>
      <c r="H2" s="289"/>
      <c r="I2" s="289"/>
      <c r="J2" s="289"/>
      <c r="K2" s="289"/>
      <c r="L2" s="289"/>
      <c r="M2" s="289"/>
    </row>
    <row r="3" spans="1:104" ht="19.5" thickBot="1"/>
    <row r="4" spans="1:104">
      <c r="A4" s="384" t="s">
        <v>276</v>
      </c>
      <c r="B4" s="387" t="s">
        <v>282</v>
      </c>
      <c r="C4" s="378" t="s">
        <v>22</v>
      </c>
      <c r="D4" s="370" t="s">
        <v>87</v>
      </c>
      <c r="E4" s="381" t="s">
        <v>145</v>
      </c>
      <c r="F4" s="374" t="s">
        <v>288</v>
      </c>
      <c r="G4" s="363" t="s">
        <v>187</v>
      </c>
      <c r="H4" s="363"/>
      <c r="I4" s="363"/>
      <c r="J4" s="363"/>
      <c r="K4" s="363"/>
      <c r="L4" s="363"/>
      <c r="M4" s="363"/>
      <c r="N4" s="363"/>
      <c r="O4" s="363"/>
      <c r="P4" s="363"/>
      <c r="Q4" s="363" t="s">
        <v>188</v>
      </c>
      <c r="R4" s="363"/>
      <c r="S4" s="363"/>
      <c r="T4" s="363"/>
      <c r="U4" s="363"/>
      <c r="V4" s="360"/>
      <c r="W4" s="374" t="s">
        <v>307</v>
      </c>
      <c r="X4" s="363" t="s">
        <v>146</v>
      </c>
      <c r="Y4" s="363" t="s">
        <v>88</v>
      </c>
      <c r="Z4" s="363"/>
      <c r="AA4" s="363"/>
      <c r="AB4" s="363"/>
      <c r="AC4" s="363"/>
      <c r="AD4" s="363"/>
      <c r="AE4" s="363"/>
      <c r="AF4" s="363"/>
      <c r="AG4" s="363"/>
      <c r="AH4" s="363"/>
      <c r="AI4" s="363"/>
      <c r="AJ4" s="363"/>
      <c r="AK4" s="363"/>
      <c r="AL4" s="363"/>
      <c r="AM4" s="363"/>
      <c r="AN4" s="363"/>
      <c r="AO4" s="363"/>
      <c r="AP4" s="363"/>
      <c r="AQ4" s="363"/>
      <c r="AR4" s="363"/>
      <c r="AS4" s="363"/>
      <c r="AT4" s="363"/>
      <c r="AU4" s="363"/>
      <c r="AV4" s="363"/>
      <c r="AW4" s="363"/>
      <c r="AX4" s="363"/>
      <c r="AY4" s="360"/>
      <c r="AZ4" s="367" t="s">
        <v>91</v>
      </c>
      <c r="BA4" s="370" t="s">
        <v>93</v>
      </c>
      <c r="BB4" s="370" t="s">
        <v>94</v>
      </c>
      <c r="BC4" s="363" t="s">
        <v>258</v>
      </c>
      <c r="BD4" s="354" t="s">
        <v>189</v>
      </c>
      <c r="BE4" s="355"/>
      <c r="BF4" s="355"/>
      <c r="BG4" s="355"/>
      <c r="BH4" s="355"/>
      <c r="BI4" s="356"/>
      <c r="BJ4" s="354" t="s">
        <v>190</v>
      </c>
      <c r="BK4" s="355"/>
      <c r="BL4" s="355"/>
      <c r="BM4" s="355"/>
      <c r="BN4" s="355"/>
      <c r="BO4" s="356"/>
      <c r="BP4" s="363" t="s">
        <v>259</v>
      </c>
      <c r="BQ4" s="372" t="s">
        <v>286</v>
      </c>
      <c r="BR4" s="360" t="s">
        <v>260</v>
      </c>
      <c r="BS4" s="205"/>
      <c r="BT4" s="205"/>
      <c r="BU4" s="206"/>
      <c r="BV4" s="207" t="s">
        <v>334</v>
      </c>
      <c r="BW4" s="206"/>
      <c r="BX4" s="206"/>
      <c r="BY4" s="206" t="s">
        <v>114</v>
      </c>
      <c r="BZ4" s="206"/>
      <c r="CA4" s="206"/>
      <c r="CB4" s="353" t="s">
        <v>379</v>
      </c>
      <c r="CC4" s="353"/>
      <c r="CD4" s="353"/>
      <c r="CE4" s="353"/>
      <c r="CF4" s="206"/>
      <c r="CG4" s="206"/>
      <c r="CH4" s="205"/>
      <c r="CI4" s="205"/>
      <c r="CJ4" s="206"/>
      <c r="CK4" s="207" t="s">
        <v>380</v>
      </c>
      <c r="CL4" s="206"/>
      <c r="CM4" s="206"/>
      <c r="CN4" s="206"/>
      <c r="CO4" s="206"/>
      <c r="CP4" s="206"/>
      <c r="CQ4" s="353" t="s">
        <v>381</v>
      </c>
      <c r="CR4" s="353"/>
      <c r="CS4" s="353"/>
      <c r="CT4" s="353"/>
      <c r="CU4" s="206"/>
      <c r="CV4" s="206"/>
      <c r="CW4" s="353" t="s">
        <v>382</v>
      </c>
      <c r="CX4" s="353"/>
      <c r="CY4" s="353"/>
      <c r="CZ4" s="353"/>
    </row>
    <row r="5" spans="1:104">
      <c r="A5" s="385"/>
      <c r="B5" s="388"/>
      <c r="C5" s="379"/>
      <c r="D5" s="371"/>
      <c r="E5" s="382"/>
      <c r="F5" s="375"/>
      <c r="G5" s="364"/>
      <c r="H5" s="364"/>
      <c r="I5" s="364"/>
      <c r="J5" s="364"/>
      <c r="K5" s="364"/>
      <c r="L5" s="364"/>
      <c r="M5" s="364"/>
      <c r="N5" s="364"/>
      <c r="O5" s="364"/>
      <c r="P5" s="364"/>
      <c r="Q5" s="364"/>
      <c r="R5" s="364"/>
      <c r="S5" s="364"/>
      <c r="T5" s="364"/>
      <c r="U5" s="364"/>
      <c r="V5" s="361"/>
      <c r="W5" s="375"/>
      <c r="X5" s="364"/>
      <c r="Y5" s="364">
        <v>2015</v>
      </c>
      <c r="Z5" s="364"/>
      <c r="AA5" s="364"/>
      <c r="AB5" s="365" t="s">
        <v>295</v>
      </c>
      <c r="AC5" s="365"/>
      <c r="AD5" s="365"/>
      <c r="AE5" s="365" t="s">
        <v>292</v>
      </c>
      <c r="AF5" s="365"/>
      <c r="AG5" s="365"/>
      <c r="AH5" s="365" t="s">
        <v>293</v>
      </c>
      <c r="AI5" s="365"/>
      <c r="AJ5" s="365"/>
      <c r="AK5" s="365" t="s">
        <v>294</v>
      </c>
      <c r="AL5" s="365"/>
      <c r="AM5" s="365"/>
      <c r="AN5" s="364">
        <v>2016</v>
      </c>
      <c r="AO5" s="364"/>
      <c r="AP5" s="364"/>
      <c r="AQ5" s="364">
        <v>2017</v>
      </c>
      <c r="AR5" s="364"/>
      <c r="AS5" s="364"/>
      <c r="AT5" s="364">
        <v>2018</v>
      </c>
      <c r="AU5" s="364"/>
      <c r="AV5" s="364"/>
      <c r="AW5" s="364">
        <v>2019</v>
      </c>
      <c r="AX5" s="364"/>
      <c r="AY5" s="361"/>
      <c r="AZ5" s="368"/>
      <c r="BA5" s="371"/>
      <c r="BB5" s="371"/>
      <c r="BC5" s="364"/>
      <c r="BD5" s="357"/>
      <c r="BE5" s="358"/>
      <c r="BF5" s="358"/>
      <c r="BG5" s="358"/>
      <c r="BH5" s="358"/>
      <c r="BI5" s="359"/>
      <c r="BJ5" s="357"/>
      <c r="BK5" s="358"/>
      <c r="BL5" s="358"/>
      <c r="BM5" s="358"/>
      <c r="BN5" s="358"/>
      <c r="BO5" s="359"/>
      <c r="BP5" s="364"/>
      <c r="BQ5" s="332"/>
      <c r="BR5" s="361"/>
      <c r="BS5" s="350">
        <v>2015</v>
      </c>
      <c r="BT5" s="350"/>
      <c r="BU5" s="350"/>
      <c r="BV5" s="350"/>
      <c r="BW5" s="351">
        <v>2016</v>
      </c>
      <c r="BX5" s="351">
        <v>2017</v>
      </c>
      <c r="BY5" s="351">
        <v>2018</v>
      </c>
      <c r="BZ5" s="351">
        <v>2019</v>
      </c>
      <c r="CA5" s="208"/>
      <c r="CB5" s="350">
        <v>2015</v>
      </c>
      <c r="CC5" s="350"/>
      <c r="CD5" s="350"/>
      <c r="CE5" s="350"/>
      <c r="CF5" s="208"/>
      <c r="CG5" s="208"/>
      <c r="CH5" s="350">
        <v>2015</v>
      </c>
      <c r="CI5" s="350"/>
      <c r="CJ5" s="350"/>
      <c r="CK5" s="350"/>
      <c r="CL5" s="351">
        <v>2016</v>
      </c>
      <c r="CM5" s="351">
        <v>2017</v>
      </c>
      <c r="CN5" s="351">
        <v>2018</v>
      </c>
      <c r="CO5" s="351">
        <v>2019</v>
      </c>
      <c r="CP5" s="206"/>
      <c r="CQ5" s="350">
        <v>2015</v>
      </c>
      <c r="CR5" s="350"/>
      <c r="CS5" s="350"/>
      <c r="CT5" s="350"/>
      <c r="CU5" s="206"/>
      <c r="CV5" s="206"/>
      <c r="CW5" s="350">
        <v>2014</v>
      </c>
      <c r="CX5" s="350"/>
      <c r="CY5" s="350"/>
      <c r="CZ5" s="350"/>
    </row>
    <row r="6" spans="1:104" ht="171" customHeight="1" thickBot="1">
      <c r="A6" s="386"/>
      <c r="B6" s="389"/>
      <c r="C6" s="380"/>
      <c r="D6" s="329"/>
      <c r="E6" s="383"/>
      <c r="F6" s="376"/>
      <c r="G6" s="183" t="s">
        <v>11</v>
      </c>
      <c r="H6" s="183">
        <v>2015</v>
      </c>
      <c r="I6" s="24" t="s">
        <v>291</v>
      </c>
      <c r="J6" s="24" t="s">
        <v>292</v>
      </c>
      <c r="K6" s="24" t="s">
        <v>293</v>
      </c>
      <c r="L6" s="24" t="s">
        <v>294</v>
      </c>
      <c r="M6" s="183">
        <v>2016</v>
      </c>
      <c r="N6" s="183">
        <v>2017</v>
      </c>
      <c r="O6" s="183">
        <v>2018</v>
      </c>
      <c r="P6" s="183">
        <v>2019</v>
      </c>
      <c r="Q6" s="183" t="s">
        <v>11</v>
      </c>
      <c r="R6" s="183">
        <v>2015</v>
      </c>
      <c r="S6" s="183">
        <v>2016</v>
      </c>
      <c r="T6" s="183">
        <v>2017</v>
      </c>
      <c r="U6" s="183">
        <v>2018</v>
      </c>
      <c r="V6" s="183">
        <v>2019</v>
      </c>
      <c r="W6" s="376"/>
      <c r="X6" s="377"/>
      <c r="Y6" s="183" t="s">
        <v>89</v>
      </c>
      <c r="Z6" s="183" t="s">
        <v>90</v>
      </c>
      <c r="AA6" s="183" t="s">
        <v>298</v>
      </c>
      <c r="AB6" s="183" t="s">
        <v>89</v>
      </c>
      <c r="AC6" s="183" t="s">
        <v>90</v>
      </c>
      <c r="AD6" s="183" t="s">
        <v>298</v>
      </c>
      <c r="AE6" s="183" t="s">
        <v>89</v>
      </c>
      <c r="AF6" s="183" t="s">
        <v>90</v>
      </c>
      <c r="AG6" s="183" t="s">
        <v>298</v>
      </c>
      <c r="AH6" s="183" t="s">
        <v>89</v>
      </c>
      <c r="AI6" s="183" t="s">
        <v>90</v>
      </c>
      <c r="AJ6" s="183" t="s">
        <v>298</v>
      </c>
      <c r="AK6" s="183" t="s">
        <v>89</v>
      </c>
      <c r="AL6" s="183" t="s">
        <v>90</v>
      </c>
      <c r="AM6" s="183" t="s">
        <v>298</v>
      </c>
      <c r="AN6" s="183" t="s">
        <v>89</v>
      </c>
      <c r="AO6" s="183" t="s">
        <v>90</v>
      </c>
      <c r="AP6" s="183" t="s">
        <v>298</v>
      </c>
      <c r="AQ6" s="183" t="s">
        <v>89</v>
      </c>
      <c r="AR6" s="183" t="s">
        <v>90</v>
      </c>
      <c r="AS6" s="183" t="s">
        <v>298</v>
      </c>
      <c r="AT6" s="183" t="s">
        <v>89</v>
      </c>
      <c r="AU6" s="183" t="s">
        <v>90</v>
      </c>
      <c r="AV6" s="183" t="s">
        <v>298</v>
      </c>
      <c r="AW6" s="183" t="s">
        <v>89</v>
      </c>
      <c r="AX6" s="183" t="s">
        <v>90</v>
      </c>
      <c r="AY6" s="25" t="s">
        <v>298</v>
      </c>
      <c r="AZ6" s="369"/>
      <c r="BA6" s="329"/>
      <c r="BB6" s="329"/>
      <c r="BC6" s="366"/>
      <c r="BD6" s="181" t="s">
        <v>11</v>
      </c>
      <c r="BE6" s="181">
        <v>2015</v>
      </c>
      <c r="BF6" s="181">
        <v>2016</v>
      </c>
      <c r="BG6" s="181">
        <v>2017</v>
      </c>
      <c r="BH6" s="181">
        <v>2018</v>
      </c>
      <c r="BI6" s="181">
        <v>2019</v>
      </c>
      <c r="BJ6" s="181" t="s">
        <v>11</v>
      </c>
      <c r="BK6" s="181">
        <v>2015</v>
      </c>
      <c r="BL6" s="181">
        <v>2016</v>
      </c>
      <c r="BM6" s="181">
        <v>2017</v>
      </c>
      <c r="BN6" s="181">
        <v>2018</v>
      </c>
      <c r="BO6" s="181">
        <v>2019</v>
      </c>
      <c r="BP6" s="366"/>
      <c r="BQ6" s="373"/>
      <c r="BR6" s="362"/>
      <c r="BS6" s="72" t="s">
        <v>313</v>
      </c>
      <c r="BT6" s="72" t="s">
        <v>314</v>
      </c>
      <c r="BU6" s="72" t="s">
        <v>315</v>
      </c>
      <c r="BV6" s="72" t="s">
        <v>316</v>
      </c>
      <c r="BW6" s="352"/>
      <c r="BX6" s="352"/>
      <c r="BY6" s="352"/>
      <c r="BZ6" s="352"/>
      <c r="CA6" s="208"/>
      <c r="CB6" s="72" t="s">
        <v>313</v>
      </c>
      <c r="CC6" s="72" t="s">
        <v>314</v>
      </c>
      <c r="CD6" s="72" t="s">
        <v>315</v>
      </c>
      <c r="CE6" s="72" t="s">
        <v>316</v>
      </c>
      <c r="CF6" s="208"/>
      <c r="CG6" s="208"/>
      <c r="CH6" s="72" t="s">
        <v>313</v>
      </c>
      <c r="CI6" s="72" t="s">
        <v>314</v>
      </c>
      <c r="CJ6" s="72" t="s">
        <v>315</v>
      </c>
      <c r="CK6" s="72" t="s">
        <v>316</v>
      </c>
      <c r="CL6" s="352"/>
      <c r="CM6" s="352"/>
      <c r="CN6" s="352"/>
      <c r="CO6" s="352"/>
      <c r="CP6" s="206"/>
      <c r="CQ6" s="72" t="s">
        <v>313</v>
      </c>
      <c r="CR6" s="72" t="s">
        <v>314</v>
      </c>
      <c r="CS6" s="72" t="s">
        <v>315</v>
      </c>
      <c r="CT6" s="72" t="s">
        <v>316</v>
      </c>
      <c r="CU6" s="206"/>
      <c r="CV6" s="206"/>
      <c r="CW6" s="72" t="s">
        <v>313</v>
      </c>
      <c r="CX6" s="72" t="s">
        <v>314</v>
      </c>
      <c r="CY6" s="72" t="s">
        <v>315</v>
      </c>
      <c r="CZ6" s="72" t="s">
        <v>316</v>
      </c>
    </row>
    <row r="7" spans="1:104" ht="27.75" customHeight="1" thickBot="1">
      <c r="A7" s="29">
        <v>1</v>
      </c>
      <c r="B7" s="23">
        <v>2</v>
      </c>
      <c r="C7" s="30">
        <v>3</v>
      </c>
      <c r="D7" s="23">
        <v>4</v>
      </c>
      <c r="E7" s="23">
        <v>5</v>
      </c>
      <c r="F7" s="23">
        <v>6</v>
      </c>
      <c r="G7" s="23">
        <v>7</v>
      </c>
      <c r="H7" s="23">
        <v>8</v>
      </c>
      <c r="I7" s="23">
        <v>9</v>
      </c>
      <c r="J7" s="23">
        <v>10</v>
      </c>
      <c r="K7" s="23">
        <v>11</v>
      </c>
      <c r="L7" s="23">
        <v>12</v>
      </c>
      <c r="M7" s="23">
        <v>13</v>
      </c>
      <c r="N7" s="23">
        <v>14</v>
      </c>
      <c r="O7" s="23">
        <v>15</v>
      </c>
      <c r="P7" s="23">
        <v>16</v>
      </c>
      <c r="Q7" s="23">
        <v>17</v>
      </c>
      <c r="R7" s="23">
        <v>18</v>
      </c>
      <c r="S7" s="23">
        <v>19</v>
      </c>
      <c r="T7" s="23">
        <v>20</v>
      </c>
      <c r="U7" s="23">
        <v>21</v>
      </c>
      <c r="V7" s="23">
        <v>22</v>
      </c>
      <c r="W7" s="23">
        <v>23</v>
      </c>
      <c r="X7" s="23">
        <v>24</v>
      </c>
      <c r="Y7" s="23">
        <v>25</v>
      </c>
      <c r="Z7" s="23">
        <v>26</v>
      </c>
      <c r="AA7" s="23">
        <v>27</v>
      </c>
      <c r="AB7" s="31">
        <v>28</v>
      </c>
      <c r="AC7" s="31">
        <v>29</v>
      </c>
      <c r="AD7" s="31">
        <v>30</v>
      </c>
      <c r="AE7" s="31">
        <v>31</v>
      </c>
      <c r="AF7" s="31">
        <v>32</v>
      </c>
      <c r="AG7" s="31">
        <v>33</v>
      </c>
      <c r="AH7" s="31">
        <v>34</v>
      </c>
      <c r="AI7" s="31">
        <v>35</v>
      </c>
      <c r="AJ7" s="31">
        <v>36</v>
      </c>
      <c r="AK7" s="31">
        <v>37</v>
      </c>
      <c r="AL7" s="31">
        <v>38</v>
      </c>
      <c r="AM7" s="31">
        <v>39</v>
      </c>
      <c r="AN7" s="23">
        <v>40</v>
      </c>
      <c r="AO7" s="23">
        <v>41</v>
      </c>
      <c r="AP7" s="23">
        <v>42</v>
      </c>
      <c r="AQ7" s="23">
        <v>43</v>
      </c>
      <c r="AR7" s="23">
        <v>44</v>
      </c>
      <c r="AS7" s="23">
        <v>45</v>
      </c>
      <c r="AT7" s="23">
        <v>46</v>
      </c>
      <c r="AU7" s="23">
        <v>47</v>
      </c>
      <c r="AV7" s="23">
        <v>48</v>
      </c>
      <c r="AW7" s="23">
        <v>49</v>
      </c>
      <c r="AX7" s="23">
        <v>50</v>
      </c>
      <c r="AY7" s="23">
        <v>51</v>
      </c>
      <c r="AZ7" s="23">
        <v>52</v>
      </c>
      <c r="BA7" s="23">
        <v>53</v>
      </c>
      <c r="BB7" s="23">
        <v>54</v>
      </c>
      <c r="BC7" s="23">
        <v>55</v>
      </c>
      <c r="BD7" s="23">
        <v>56</v>
      </c>
      <c r="BE7" s="23">
        <v>57</v>
      </c>
      <c r="BF7" s="23">
        <v>58</v>
      </c>
      <c r="BG7" s="23">
        <v>59</v>
      </c>
      <c r="BH7" s="23">
        <v>60</v>
      </c>
      <c r="BI7" s="23">
        <v>61</v>
      </c>
      <c r="BJ7" s="23">
        <v>62</v>
      </c>
      <c r="BK7" s="23">
        <v>63</v>
      </c>
      <c r="BL7" s="23">
        <v>64</v>
      </c>
      <c r="BM7" s="23">
        <v>65</v>
      </c>
      <c r="BN7" s="23">
        <v>66</v>
      </c>
      <c r="BO7" s="23">
        <v>67</v>
      </c>
      <c r="BP7" s="23">
        <v>68</v>
      </c>
      <c r="BQ7" s="23">
        <v>69</v>
      </c>
      <c r="BR7" s="23">
        <v>70</v>
      </c>
      <c r="BS7" s="209">
        <v>1.5231901601059501</v>
      </c>
      <c r="BT7" s="209">
        <v>1.5231901601059501</v>
      </c>
      <c r="BU7" s="209">
        <v>1.6831251269170799</v>
      </c>
      <c r="BV7" s="209">
        <v>1.6831251269170799</v>
      </c>
      <c r="BW7" s="197">
        <v>1.76638062067177</v>
      </c>
      <c r="BX7" s="197">
        <v>1.9402549823688899</v>
      </c>
      <c r="BY7" s="197">
        <v>2.1245791914383898</v>
      </c>
      <c r="BZ7" s="197">
        <v>2.3264143083100302</v>
      </c>
      <c r="CA7" s="210"/>
      <c r="CB7" s="70"/>
      <c r="CC7" s="70"/>
      <c r="CD7" s="70"/>
      <c r="CE7" s="70"/>
      <c r="CF7" s="210"/>
      <c r="CG7" s="210"/>
      <c r="CH7" s="213">
        <v>1.16462</v>
      </c>
      <c r="CI7" s="213">
        <v>1.1566799999999999</v>
      </c>
      <c r="CJ7" s="213">
        <v>1.16123</v>
      </c>
      <c r="CK7" s="213">
        <v>1.18394</v>
      </c>
      <c r="CL7" s="269">
        <v>1.24413728795075</v>
      </c>
      <c r="CM7" s="213">
        <v>1.3044904235657599</v>
      </c>
      <c r="CN7" s="213">
        <v>1.3691755448419001</v>
      </c>
      <c r="CO7" s="213">
        <v>1.4363066621820999</v>
      </c>
      <c r="CP7" s="206"/>
      <c r="CQ7" s="211"/>
      <c r="CR7" s="70"/>
      <c r="CS7" s="70"/>
      <c r="CT7" s="70"/>
      <c r="CU7" s="206"/>
      <c r="CV7" s="206"/>
      <c r="CW7" s="70"/>
      <c r="CX7" s="70"/>
      <c r="CY7" s="70"/>
      <c r="CZ7" s="70"/>
    </row>
    <row r="8" spans="1:104" ht="42">
      <c r="A8" s="42"/>
      <c r="B8" s="42"/>
      <c r="C8" s="32">
        <v>1</v>
      </c>
      <c r="D8" s="273" t="s">
        <v>278</v>
      </c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51"/>
      <c r="CH8" s="214"/>
      <c r="CI8" s="214"/>
      <c r="CJ8" s="214"/>
      <c r="CK8" s="214"/>
      <c r="CL8" s="214"/>
      <c r="CM8" s="214"/>
      <c r="CN8" s="214"/>
      <c r="CO8" s="214"/>
      <c r="CP8" s="214"/>
      <c r="CQ8" s="145"/>
    </row>
    <row r="9" spans="1:104" ht="21">
      <c r="A9" s="173"/>
      <c r="B9" s="173"/>
      <c r="C9" s="26" t="s">
        <v>39</v>
      </c>
      <c r="D9" s="274" t="s">
        <v>92</v>
      </c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173"/>
      <c r="CC9" s="47" t="s">
        <v>333</v>
      </c>
    </row>
    <row r="10" spans="1:104" ht="92.25" customHeight="1">
      <c r="A10" s="173"/>
      <c r="B10" s="173"/>
      <c r="C10" s="26"/>
      <c r="D10" s="275" t="s">
        <v>299</v>
      </c>
      <c r="E10" s="27" t="s">
        <v>65</v>
      </c>
      <c r="F10" s="54" t="s">
        <v>312</v>
      </c>
      <c r="G10" s="164">
        <f>H10+M10+N10+O10+P10</f>
        <v>140856.144</v>
      </c>
      <c r="H10" s="122">
        <f>SUM(I10:L10)</f>
        <v>21947.64</v>
      </c>
      <c r="I10" s="27"/>
      <c r="J10" s="140">
        <f>0+0+(6.395*1224)</f>
        <v>7827.48</v>
      </c>
      <c r="K10" s="140">
        <f>0+0+(6.395*2208)</f>
        <v>14120.16</v>
      </c>
      <c r="L10" s="127"/>
      <c r="M10" s="140">
        <f>0+0+(7.154*3432)</f>
        <v>24552.527999999998</v>
      </c>
      <c r="N10" s="140">
        <f>0+0+(8.654*3432)</f>
        <v>29700.527999999998</v>
      </c>
      <c r="O10" s="140">
        <f>0+0+(8.916*3432)</f>
        <v>30599.712</v>
      </c>
      <c r="P10" s="140">
        <f>0+0+(9.923*3432)</f>
        <v>34055.735999999997</v>
      </c>
      <c r="Q10" s="27"/>
      <c r="R10" s="27"/>
      <c r="S10" s="27"/>
      <c r="T10" s="27"/>
      <c r="U10" s="27"/>
      <c r="V10" s="27"/>
      <c r="W10" s="27" t="s">
        <v>306</v>
      </c>
      <c r="X10" s="126">
        <f>Y10+AN10+AQ10+AT10+AW10</f>
        <v>0.56343105800000004</v>
      </c>
      <c r="Y10" s="125">
        <f t="shared" ref="Y10:Z10" si="0">AB10+AE10+AH10+AK10</f>
        <v>8.779055999999999E-2</v>
      </c>
      <c r="Z10" s="125">
        <f t="shared" si="0"/>
        <v>10.534867200000001</v>
      </c>
      <c r="AA10" s="125">
        <f>AD10+AG10+AJ10+AM10</f>
        <v>0.1427549464260624</v>
      </c>
      <c r="AB10" s="125">
        <f t="shared" ref="AB10" si="1">I10*0.85/1000</f>
        <v>0</v>
      </c>
      <c r="AC10" s="125">
        <f t="shared" ref="AC10" si="2">AB10*1000*0.12</f>
        <v>0</v>
      </c>
      <c r="AD10" s="125">
        <f t="shared" ref="AD10" si="3">AB10*$BS$7</f>
        <v>0</v>
      </c>
      <c r="AE10" s="125">
        <v>3.1309919999999998E-2</v>
      </c>
      <c r="AF10" s="125">
        <f t="shared" ref="AF10" si="4">AE10*1000*0.12</f>
        <v>3.7571903999999998</v>
      </c>
      <c r="AG10" s="125">
        <f t="shared" ref="AG10" si="5">AE10*$BT$7</f>
        <v>4.7690962057704483E-2</v>
      </c>
      <c r="AH10" s="125">
        <v>5.6480639999999999E-2</v>
      </c>
      <c r="AI10" s="39">
        <f t="shared" ref="AI10" si="6">AH10*1000*0.12</f>
        <v>6.7776768000000001</v>
      </c>
      <c r="AJ10" s="125">
        <f t="shared" ref="AJ10" si="7">AH10*$BU$7</f>
        <v>9.5063984368357904E-2</v>
      </c>
      <c r="AK10" s="125">
        <f t="shared" ref="AK10" si="8">L10*0.85/1000</f>
        <v>0</v>
      </c>
      <c r="AL10" s="125">
        <f t="shared" ref="AL10" si="9">AK10*1000*0.12</f>
        <v>0</v>
      </c>
      <c r="AM10" s="125">
        <f t="shared" ref="AM10" si="10">AK10*$BU$7</f>
        <v>0</v>
      </c>
      <c r="AN10" s="125">
        <v>9.8210099999999995E-2</v>
      </c>
      <c r="AO10" s="125">
        <f t="shared" ref="AO10" si="11">AN10*0.12*1000</f>
        <v>11.785212</v>
      </c>
      <c r="AP10" s="125">
        <f t="shared" ref="AP10" si="12">AN10*$BW$7</f>
        <v>0.17347641739423658</v>
      </c>
      <c r="AQ10" s="125">
        <v>0.11880211</v>
      </c>
      <c r="AR10" s="125">
        <f t="shared" ref="AR10" si="13">AQ10*0.12*1000</f>
        <v>14.2562532</v>
      </c>
      <c r="AS10" s="125">
        <f t="shared" ref="AS10" si="14">AQ10*$BX$7</f>
        <v>0.23050638584343694</v>
      </c>
      <c r="AT10" s="125">
        <v>0.122398848</v>
      </c>
      <c r="AU10" s="125">
        <f t="shared" ref="AU10" si="15">AT10*0.12*1000</f>
        <v>14.687861760000001</v>
      </c>
      <c r="AV10" s="125">
        <f t="shared" ref="AV10" si="16">AT10*$BY$7</f>
        <v>0.26004604551683036</v>
      </c>
      <c r="AW10" s="125">
        <v>0.13622944000000001</v>
      </c>
      <c r="AX10" s="125">
        <f t="shared" ref="AX10" si="17">AW10*0.12*1000</f>
        <v>16.347532800000003</v>
      </c>
      <c r="AY10" s="125">
        <f t="shared" ref="AY10" si="18">AW10*$BZ$7</f>
        <v>0.31692611842906276</v>
      </c>
      <c r="AZ10" s="127"/>
      <c r="BA10" s="127"/>
      <c r="BB10" s="127"/>
      <c r="BC10" s="127"/>
      <c r="BD10" s="126">
        <f>SUM(BE10:BI10)</f>
        <v>1.0352479999999999</v>
      </c>
      <c r="BE10" s="148">
        <f>0+0.14295+0</f>
        <v>0.14294999999999999</v>
      </c>
      <c r="BF10" s="46">
        <f>0+0.171868+0</f>
        <v>0.17186799999999999</v>
      </c>
      <c r="BG10" s="46">
        <f>0+0.216844+0</f>
        <v>0.21684400000000001</v>
      </c>
      <c r="BH10" s="46">
        <f>0+0.233047+0</f>
        <v>0.233047</v>
      </c>
      <c r="BI10" s="46">
        <f>0+0.270539+0</f>
        <v>0.27053899999999997</v>
      </c>
      <c r="BJ10" s="44">
        <f>SUM(BK10:BO10)</f>
        <v>0</v>
      </c>
      <c r="BK10" s="27"/>
      <c r="BL10" s="27"/>
      <c r="BM10" s="27"/>
      <c r="BN10" s="27"/>
      <c r="BO10" s="27"/>
      <c r="BP10" s="27" t="s">
        <v>330</v>
      </c>
      <c r="BQ10" s="27"/>
      <c r="BR10" s="182" t="s">
        <v>309</v>
      </c>
      <c r="CB10" s="350">
        <v>2015</v>
      </c>
      <c r="CC10" s="350"/>
      <c r="CD10" s="350"/>
      <c r="CE10" s="350"/>
      <c r="CF10" s="351">
        <v>2016</v>
      </c>
      <c r="CG10" s="351">
        <v>2017</v>
      </c>
      <c r="CH10" s="351">
        <v>2018</v>
      </c>
      <c r="CI10" s="351">
        <v>2019</v>
      </c>
    </row>
    <row r="11" spans="1:104" ht="49.5" customHeight="1">
      <c r="A11" s="39"/>
      <c r="B11" s="39"/>
      <c r="C11" s="53"/>
      <c r="D11" s="275" t="s">
        <v>300</v>
      </c>
      <c r="E11" s="27" t="s">
        <v>65</v>
      </c>
      <c r="F11" s="54" t="s">
        <v>312</v>
      </c>
      <c r="G11" s="164">
        <f>H11+M11+N11+O11+P11</f>
        <v>841927.44000000018</v>
      </c>
      <c r="H11" s="124">
        <f t="shared" ref="H11:H14" si="19">SUM(I11:L11)</f>
        <v>168385.48800000004</v>
      </c>
      <c r="I11" s="28"/>
      <c r="J11" s="125">
        <f>(4392*9.63)+0+(13176*9.32)</f>
        <v>165095.28000000003</v>
      </c>
      <c r="K11" s="125">
        <f>0+0+(56.092*24)</f>
        <v>1346.2080000000001</v>
      </c>
      <c r="L11" s="125">
        <f>0+0+(2160*0.9)</f>
        <v>1944</v>
      </c>
      <c r="M11" s="125">
        <f>J11+K11+L11</f>
        <v>168385.48800000004</v>
      </c>
      <c r="N11" s="125">
        <f>J11+K11+L11</f>
        <v>168385.48800000004</v>
      </c>
      <c r="O11" s="125">
        <f>J11+K11+L11</f>
        <v>168385.48800000004</v>
      </c>
      <c r="P11" s="125">
        <f>J11+K11+L11</f>
        <v>168385.48800000004</v>
      </c>
      <c r="Q11" s="39"/>
      <c r="R11" s="39"/>
      <c r="S11" s="39"/>
      <c r="T11" s="39"/>
      <c r="U11" s="39"/>
      <c r="V11" s="39"/>
      <c r="W11" s="27" t="s">
        <v>306</v>
      </c>
      <c r="X11" s="44">
        <f t="shared" ref="X11:X14" si="20">Y11+AN11+AQ11+AT11+AW11</f>
        <v>3.3677097379999998</v>
      </c>
      <c r="Y11" s="125">
        <f>AB11+AE11+AH11+AK11</f>
        <v>0.67354193000000007</v>
      </c>
      <c r="Z11" s="125">
        <f t="shared" ref="Y11:AA13" si="21">AC11+AF11+AI11+AL11</f>
        <v>80.825031600000003</v>
      </c>
      <c r="AA11" s="125">
        <f>AD11+AG11+AJ11+AM11</f>
        <v>1.0280373171040276</v>
      </c>
      <c r="AB11" s="125"/>
      <c r="AC11" s="125"/>
      <c r="AD11" s="125"/>
      <c r="AE11" s="125">
        <v>0.66038110000000005</v>
      </c>
      <c r="AF11" s="125">
        <f>AE11*1000*0.12</f>
        <v>79.245732000000004</v>
      </c>
      <c r="AG11" s="125">
        <f>AE11*$BT$7</f>
        <v>1.0058859934399436</v>
      </c>
      <c r="AH11" s="125">
        <v>5.3848300000000002E-3</v>
      </c>
      <c r="AI11" s="39">
        <f>AH11*1000*0.12</f>
        <v>0.64617959999999997</v>
      </c>
      <c r="AJ11" s="79">
        <f>AH11*$BU$7</f>
        <v>9.0633426771768999E-3</v>
      </c>
      <c r="AK11" s="125">
        <v>7.7759999999999999E-3</v>
      </c>
      <c r="AL11" s="125">
        <f>AK11*1000*0.12</f>
        <v>0.93311999999999995</v>
      </c>
      <c r="AM11" s="125">
        <f>AK11*$BV$7</f>
        <v>1.3087980986907213E-2</v>
      </c>
      <c r="AN11" s="125">
        <v>0.673541952</v>
      </c>
      <c r="AO11" s="125">
        <f>AN11*1000*0.12</f>
        <v>80.825034240000008</v>
      </c>
      <c r="AP11" s="125">
        <f>AN11*$BW$7</f>
        <v>1.1897314512222354</v>
      </c>
      <c r="AQ11" s="125">
        <v>0.673541952</v>
      </c>
      <c r="AR11" s="125">
        <f>AQ11*1000*0.12</f>
        <v>80.825034240000008</v>
      </c>
      <c r="AS11" s="125">
        <f>AQ11*$BX$7</f>
        <v>1.3068431282024677</v>
      </c>
      <c r="AT11" s="125">
        <v>0.673541952</v>
      </c>
      <c r="AU11" s="125">
        <f>AT11*1000*0.12</f>
        <v>80.825034240000008</v>
      </c>
      <c r="AV11" s="125">
        <f>AT11*$BY$7</f>
        <v>1.4309932157799947</v>
      </c>
      <c r="AW11" s="125">
        <v>0.673541952</v>
      </c>
      <c r="AX11" s="125">
        <f>AW11*1000*0.12</f>
        <v>80.825034240000008</v>
      </c>
      <c r="AY11" s="125">
        <f>AW11*$BZ$7</f>
        <v>1.5669376343798675</v>
      </c>
      <c r="AZ11" s="125"/>
      <c r="BA11" s="125"/>
      <c r="BB11" s="125"/>
      <c r="BC11" s="125"/>
      <c r="BD11" s="126">
        <f t="shared" ref="BD11:BD15" si="22">SUM(BE11:BI11)</f>
        <v>3.0377880000000004</v>
      </c>
      <c r="BE11" s="81">
        <f>0.144925+0+0.424423</f>
        <v>0.56934799999999997</v>
      </c>
      <c r="BF11" s="81">
        <f>0.15035+0+0.46583</f>
        <v>0.61618000000000006</v>
      </c>
      <c r="BG11" s="81">
        <f>0.15097+0+0.46583</f>
        <v>0.61680000000000001</v>
      </c>
      <c r="BH11" s="81">
        <f>0.15159+0+0.46583</f>
        <v>0.61742000000000008</v>
      </c>
      <c r="BI11" s="81">
        <f>0.15221+0+0.46583</f>
        <v>0.61804000000000003</v>
      </c>
      <c r="BJ11" s="44">
        <f t="shared" ref="BJ11:BJ14" si="23">SUM(BK11:BO11)</f>
        <v>0</v>
      </c>
      <c r="BK11" s="39"/>
      <c r="BL11" s="39"/>
      <c r="BM11" s="39"/>
      <c r="BN11" s="39"/>
      <c r="BO11" s="39"/>
      <c r="BP11" s="27" t="s">
        <v>330</v>
      </c>
      <c r="BQ11" s="39"/>
      <c r="BR11" s="182" t="s">
        <v>309</v>
      </c>
      <c r="BT11" s="149"/>
      <c r="CB11" s="72" t="s">
        <v>313</v>
      </c>
      <c r="CC11" s="72" t="s">
        <v>314</v>
      </c>
      <c r="CD11" s="72" t="s">
        <v>315</v>
      </c>
      <c r="CE11" s="72" t="s">
        <v>316</v>
      </c>
      <c r="CF11" s="352"/>
      <c r="CG11" s="352"/>
      <c r="CH11" s="352"/>
      <c r="CI11" s="352"/>
    </row>
    <row r="12" spans="1:104" ht="49.5" customHeight="1">
      <c r="A12" s="39"/>
      <c r="B12" s="39"/>
      <c r="C12" s="53"/>
      <c r="D12" s="275" t="s">
        <v>301</v>
      </c>
      <c r="E12" s="39" t="s">
        <v>66</v>
      </c>
      <c r="F12" s="39" t="s">
        <v>12</v>
      </c>
      <c r="G12" s="122">
        <f>H12+M12+N12+O12+P12</f>
        <v>1060</v>
      </c>
      <c r="H12" s="122">
        <f t="shared" si="19"/>
        <v>207</v>
      </c>
      <c r="I12" s="28">
        <f>9+0+18</f>
        <v>27</v>
      </c>
      <c r="J12" s="28">
        <f>21+10+41</f>
        <v>72</v>
      </c>
      <c r="K12" s="28">
        <f>21+9+48</f>
        <v>78</v>
      </c>
      <c r="L12" s="28">
        <f>12+6+12</f>
        <v>30</v>
      </c>
      <c r="M12" s="28">
        <f>63+30+119</f>
        <v>212</v>
      </c>
      <c r="N12" s="28">
        <f>63+30+119</f>
        <v>212</v>
      </c>
      <c r="O12" s="28">
        <f>63+30+119</f>
        <v>212</v>
      </c>
      <c r="P12" s="28">
        <f>63+35+119</f>
        <v>217</v>
      </c>
      <c r="Q12" s="39"/>
      <c r="R12" s="39"/>
      <c r="S12" s="39"/>
      <c r="T12" s="39"/>
      <c r="U12" s="39"/>
      <c r="V12" s="39"/>
      <c r="W12" s="27" t="s">
        <v>306</v>
      </c>
      <c r="X12" s="44">
        <f t="shared" si="20"/>
        <v>0.90100000000000002</v>
      </c>
      <c r="Y12" s="125">
        <f t="shared" si="21"/>
        <v>0.17595</v>
      </c>
      <c r="Z12" s="125">
        <f t="shared" si="21"/>
        <v>21.113999999999997</v>
      </c>
      <c r="AA12" s="125">
        <f t="shared" si="21"/>
        <v>0.28268733862390361</v>
      </c>
      <c r="AB12" s="125">
        <v>2.2950000000000002E-2</v>
      </c>
      <c r="AC12" s="125">
        <f>AB12*1000*0.12</f>
        <v>2.7540000000000004</v>
      </c>
      <c r="AD12" s="125">
        <f>AB12*$BS$7</f>
        <v>3.495721417443156E-2</v>
      </c>
      <c r="AE12" s="125">
        <v>6.1199999999999997E-2</v>
      </c>
      <c r="AF12" s="125">
        <f>AE12*1000*0.12</f>
        <v>7.3439999999999994</v>
      </c>
      <c r="AG12" s="125">
        <f>AE12*$BT$7</f>
        <v>9.3219237798484136E-2</v>
      </c>
      <c r="AH12" s="125">
        <v>6.6299999999999998E-2</v>
      </c>
      <c r="AI12" s="125">
        <f>AH12*1000*0.12</f>
        <v>7.9559999999999995</v>
      </c>
      <c r="AJ12" s="125">
        <f>AH12*$BU$7</f>
        <v>0.1115911959146024</v>
      </c>
      <c r="AK12" s="125">
        <v>2.5499999999999998E-2</v>
      </c>
      <c r="AL12" s="125">
        <f>AK12*1000*0.12</f>
        <v>3.06</v>
      </c>
      <c r="AM12" s="125">
        <f>AK12*$BV$7</f>
        <v>4.2919690736385532E-2</v>
      </c>
      <c r="AN12" s="125">
        <v>0.1802</v>
      </c>
      <c r="AO12" s="125">
        <f>AN12*0.12*1000</f>
        <v>21.623999999999999</v>
      </c>
      <c r="AP12" s="125">
        <f>AN12*$BW$7</f>
        <v>0.31830178784505297</v>
      </c>
      <c r="AQ12" s="125">
        <v>0.1802</v>
      </c>
      <c r="AR12" s="125">
        <f>AQ12*0.12*1000</f>
        <v>21.623999999999999</v>
      </c>
      <c r="AS12" s="125">
        <f>AQ12*$BX$7</f>
        <v>0.34963394782287399</v>
      </c>
      <c r="AT12" s="125">
        <f>O12*0.85/1000</f>
        <v>0.1802</v>
      </c>
      <c r="AU12" s="125">
        <f>AT12*0.12*1000</f>
        <v>21.623999999999999</v>
      </c>
      <c r="AV12" s="125">
        <f>AT12*$BY$7</f>
        <v>0.38284917029719784</v>
      </c>
      <c r="AW12" s="125">
        <v>0.18445</v>
      </c>
      <c r="AX12" s="125">
        <f>AW12*0.12*1000</f>
        <v>22.134</v>
      </c>
      <c r="AY12" s="125">
        <f>AW12*$BZ$7</f>
        <v>0.42910711916778504</v>
      </c>
      <c r="AZ12" s="39">
        <v>2.2999999999999998</v>
      </c>
      <c r="BA12" s="39">
        <v>170.53</v>
      </c>
      <c r="BB12" s="125">
        <v>24.321110000000001</v>
      </c>
      <c r="BC12" s="39"/>
      <c r="BD12" s="126">
        <f>SUM(BE12:BI12)</f>
        <v>4.3585099999999999</v>
      </c>
      <c r="BE12" s="81">
        <f>0.06093+0.14217+0.14217+0.08124+0.05994+0.13653+0.15984+0.03996+0.01337+0.01275+0.0085</f>
        <v>0.85739999999999994</v>
      </c>
      <c r="BF12" s="81">
        <f>0.42651+0.39627+0.04463</f>
        <v>0.86741000000000001</v>
      </c>
      <c r="BG12" s="81">
        <f>0.42651+0.398+0.04654</f>
        <v>0.8710500000000001</v>
      </c>
      <c r="BH12" s="81">
        <f>0.42651+0.4+0.04855</f>
        <v>0.87506000000000006</v>
      </c>
      <c r="BI12" s="81">
        <f>0.42651+0.402+0.05908</f>
        <v>0.8875900000000001</v>
      </c>
      <c r="BJ12" s="44"/>
      <c r="BK12" s="39"/>
      <c r="BL12" s="39"/>
      <c r="BM12" s="39"/>
      <c r="BN12" s="39"/>
      <c r="BO12" s="39"/>
      <c r="BP12" s="27" t="s">
        <v>330</v>
      </c>
      <c r="BQ12" s="39"/>
      <c r="BR12" s="182" t="s">
        <v>309</v>
      </c>
      <c r="BT12" s="149"/>
      <c r="CB12" s="209">
        <f t="shared" ref="CB12:CI12" si="24">BS7+CH7</f>
        <v>2.6878101601059501</v>
      </c>
      <c r="CC12" s="209">
        <f t="shared" si="24"/>
        <v>2.67987016010595</v>
      </c>
      <c r="CD12" s="209">
        <f t="shared" si="24"/>
        <v>2.8443551269170797</v>
      </c>
      <c r="CE12" s="209">
        <f t="shared" si="24"/>
        <v>2.8670651269170797</v>
      </c>
      <c r="CF12" s="197">
        <f t="shared" si="24"/>
        <v>3.01051790862252</v>
      </c>
      <c r="CG12" s="197">
        <f t="shared" si="24"/>
        <v>3.2447454059346499</v>
      </c>
      <c r="CH12" s="197">
        <f t="shared" si="24"/>
        <v>3.4937547362802901</v>
      </c>
      <c r="CI12" s="197">
        <f t="shared" si="24"/>
        <v>3.7627209704921301</v>
      </c>
    </row>
    <row r="13" spans="1:104" ht="68.25" customHeight="1">
      <c r="A13" s="39"/>
      <c r="B13" s="39"/>
      <c r="C13" s="53"/>
      <c r="D13" s="275" t="s">
        <v>302</v>
      </c>
      <c r="E13" s="39" t="s">
        <v>66</v>
      </c>
      <c r="F13" s="39" t="s">
        <v>12</v>
      </c>
      <c r="G13" s="122">
        <f>H13+M13+N13+O13+P13</f>
        <v>3080</v>
      </c>
      <c r="H13" s="122">
        <f t="shared" ref="H13" si="25">SUM(I13:L13)</f>
        <v>1080</v>
      </c>
      <c r="I13" s="28">
        <f>250</f>
        <v>250</v>
      </c>
      <c r="J13" s="28">
        <f>280</f>
        <v>280</v>
      </c>
      <c r="K13" s="28">
        <f>250</f>
        <v>250</v>
      </c>
      <c r="L13" s="28">
        <f>300</f>
        <v>300</v>
      </c>
      <c r="M13" s="28">
        <v>700</v>
      </c>
      <c r="N13" s="28">
        <v>500</v>
      </c>
      <c r="O13" s="28">
        <v>450</v>
      </c>
      <c r="P13" s="28">
        <v>350</v>
      </c>
      <c r="Q13" s="39"/>
      <c r="R13" s="39"/>
      <c r="S13" s="39"/>
      <c r="T13" s="39"/>
      <c r="U13" s="39"/>
      <c r="V13" s="39"/>
      <c r="W13" s="27" t="s">
        <v>306</v>
      </c>
      <c r="X13" s="126">
        <f t="shared" si="20"/>
        <v>20.454082660000005</v>
      </c>
      <c r="Y13" s="125">
        <f t="shared" si="21"/>
        <v>15.056382660000001</v>
      </c>
      <c r="Z13" s="125">
        <f t="shared" si="21"/>
        <v>1806.7659191999999</v>
      </c>
      <c r="AA13" s="125">
        <f t="shared" si="21"/>
        <v>41.669099601377951</v>
      </c>
      <c r="AB13" s="134">
        <v>5.0388000000000002</v>
      </c>
      <c r="AC13" s="125">
        <f>AB13*1000*0.12</f>
        <v>604.65599999999995</v>
      </c>
      <c r="AD13" s="125">
        <f>AB13*(BS7+CH7)</f>
        <v>13.543337834741862</v>
      </c>
      <c r="AE13" s="125">
        <v>2.9341026600000002</v>
      </c>
      <c r="AF13" s="125">
        <f>AE13*1000*0.12</f>
        <v>352.09231919999996</v>
      </c>
      <c r="AG13" s="125">
        <f>AE13*(BT7+CI7)</f>
        <v>7.863014165221494</v>
      </c>
      <c r="AH13" s="125">
        <v>2.0277799999999999</v>
      </c>
      <c r="AI13" s="125">
        <f>AH13*1000*0.12</f>
        <v>243.33359999999999</v>
      </c>
      <c r="AJ13" s="125">
        <f>AH13*(BU7+CJ7)</f>
        <v>5.7677264392599152</v>
      </c>
      <c r="AK13" s="125">
        <v>5.0556999999999999</v>
      </c>
      <c r="AL13" s="125">
        <f>AK13*1000*0.12</f>
        <v>606.68399999999997</v>
      </c>
      <c r="AM13" s="125">
        <f>AK13*(BV7+CK7)</f>
        <v>14.49502116215468</v>
      </c>
      <c r="AN13" s="125">
        <v>1.0437000000000001</v>
      </c>
      <c r="AO13" s="125">
        <f>AN13*0.12*1000</f>
        <v>125.244</v>
      </c>
      <c r="AP13" s="125">
        <f>AN13*$CF$12</f>
        <v>3.1420775412293245</v>
      </c>
      <c r="AQ13" s="125">
        <v>1.417</v>
      </c>
      <c r="AR13" s="125">
        <f>AQ13*0.12*1000</f>
        <v>170.04</v>
      </c>
      <c r="AS13" s="125">
        <f>AQ13*$CG$12</f>
        <v>4.597804240209399</v>
      </c>
      <c r="AT13" s="125">
        <v>1.641</v>
      </c>
      <c r="AU13" s="125">
        <f>AT13*0.12*1000</f>
        <v>196.92</v>
      </c>
      <c r="AV13" s="125">
        <f>AT13*$CH$12</f>
        <v>5.7332515222359559</v>
      </c>
      <c r="AW13" s="125">
        <v>1.296</v>
      </c>
      <c r="AX13" s="125">
        <f>AW13*0.12*1000</f>
        <v>155.51999999999998</v>
      </c>
      <c r="AY13" s="125">
        <f>AW13*$CI$12</f>
        <v>4.8764863777578009</v>
      </c>
      <c r="AZ13" s="39"/>
      <c r="BA13" s="39"/>
      <c r="BB13" s="39"/>
      <c r="BC13" s="39"/>
      <c r="BD13" s="126">
        <f>SUM(BE13:BI13)</f>
        <v>0</v>
      </c>
      <c r="BE13" s="81">
        <v>0</v>
      </c>
      <c r="BF13" s="81">
        <v>0</v>
      </c>
      <c r="BG13" s="81">
        <v>0</v>
      </c>
      <c r="BH13" s="81">
        <v>0</v>
      </c>
      <c r="BI13" s="81">
        <v>0</v>
      </c>
      <c r="BJ13" s="44"/>
      <c r="BK13" s="39"/>
      <c r="BL13" s="39"/>
      <c r="BM13" s="39"/>
      <c r="BN13" s="39"/>
      <c r="BO13" s="39"/>
      <c r="BP13" s="27" t="s">
        <v>330</v>
      </c>
      <c r="BQ13" s="39"/>
      <c r="BR13" s="39"/>
      <c r="BZ13" s="47" t="s">
        <v>397</v>
      </c>
      <c r="CB13" s="47">
        <f>3.414725*CB12</f>
        <v>9.1781325489677901</v>
      </c>
      <c r="CC13" s="47">
        <f>CC12*1.58318</f>
        <v>4.2427168400765378</v>
      </c>
      <c r="CD13" s="47">
        <f>CD12*0.713</f>
        <v>2.0280252054918777</v>
      </c>
      <c r="CE13" s="47">
        <f>CE12*2.25874</f>
        <v>6.4759546847726845</v>
      </c>
      <c r="CF13" s="201">
        <f>CF12*3.212</f>
        <v>9.6697835224955355</v>
      </c>
      <c r="CG13" s="47">
        <f>CG12*2.801</f>
        <v>9.0885318820229557</v>
      </c>
      <c r="CH13" s="47">
        <f>CH12*3.22209</f>
        <v>11.257192198221361</v>
      </c>
      <c r="CI13" s="47">
        <f>3.6618*CI12</f>
        <v>13.778331649748081</v>
      </c>
    </row>
    <row r="14" spans="1:104" ht="21" hidden="1">
      <c r="A14" s="39"/>
      <c r="B14" s="39"/>
      <c r="C14" s="53" t="s">
        <v>95</v>
      </c>
      <c r="D14" s="276"/>
      <c r="E14" s="39"/>
      <c r="F14" s="39"/>
      <c r="G14" s="164">
        <f>H14+M14+N14+O14+P14</f>
        <v>0</v>
      </c>
      <c r="H14" s="44">
        <f t="shared" si="19"/>
        <v>0</v>
      </c>
      <c r="I14" s="28"/>
      <c r="J14" s="28"/>
      <c r="K14" s="28"/>
      <c r="L14" s="28"/>
      <c r="M14" s="28"/>
      <c r="N14" s="28"/>
      <c r="O14" s="28"/>
      <c r="P14" s="28"/>
      <c r="Q14" s="39"/>
      <c r="R14" s="39"/>
      <c r="S14" s="39"/>
      <c r="T14" s="39"/>
      <c r="U14" s="39"/>
      <c r="V14" s="39"/>
      <c r="W14" s="39"/>
      <c r="X14" s="44">
        <f t="shared" si="20"/>
        <v>0</v>
      </c>
      <c r="Y14" s="125"/>
      <c r="Z14" s="125"/>
      <c r="AA14" s="125"/>
      <c r="AB14" s="134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39"/>
      <c r="BA14" s="39"/>
      <c r="BB14" s="39"/>
      <c r="BC14" s="39"/>
      <c r="BD14" s="126">
        <f t="shared" si="22"/>
        <v>0</v>
      </c>
      <c r="BE14" s="39"/>
      <c r="BF14" s="39"/>
      <c r="BG14" s="39"/>
      <c r="BH14" s="39"/>
      <c r="BI14" s="39"/>
      <c r="BJ14" s="44">
        <f t="shared" si="23"/>
        <v>0</v>
      </c>
      <c r="BK14" s="39"/>
      <c r="BL14" s="39"/>
      <c r="BM14" s="39"/>
      <c r="BN14" s="39"/>
      <c r="BO14" s="39"/>
      <c r="BP14" s="39"/>
      <c r="BQ14" s="39"/>
      <c r="BR14" s="39"/>
    </row>
    <row r="15" spans="1:104" ht="21">
      <c r="A15" s="173"/>
      <c r="B15" s="173"/>
      <c r="C15" s="55"/>
      <c r="D15" s="277" t="s">
        <v>11</v>
      </c>
      <c r="E15" s="27"/>
      <c r="F15" s="27"/>
      <c r="G15" s="165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27"/>
      <c r="X15" s="126">
        <f t="shared" ref="X15:AY15" si="26">SUM(X9:X14)</f>
        <v>25.286223456000005</v>
      </c>
      <c r="Y15" s="126">
        <f t="shared" si="26"/>
        <v>15.99366515</v>
      </c>
      <c r="Z15" s="126">
        <f t="shared" si="26"/>
        <v>1919.2398179999998</v>
      </c>
      <c r="AA15" s="126">
        <f t="shared" si="26"/>
        <v>43.122579203531942</v>
      </c>
      <c r="AB15" s="143">
        <f t="shared" si="26"/>
        <v>5.06175</v>
      </c>
      <c r="AC15" s="126">
        <f t="shared" si="26"/>
        <v>607.41</v>
      </c>
      <c r="AD15" s="126">
        <f t="shared" si="26"/>
        <v>13.578295048916294</v>
      </c>
      <c r="AE15" s="126">
        <f t="shared" si="26"/>
        <v>3.6869936800000005</v>
      </c>
      <c r="AF15" s="126">
        <f t="shared" si="26"/>
        <v>442.43924159999995</v>
      </c>
      <c r="AG15" s="126">
        <f t="shared" si="26"/>
        <v>9.0098103585176261</v>
      </c>
      <c r="AH15" s="126">
        <f t="shared" si="26"/>
        <v>2.1559454699999998</v>
      </c>
      <c r="AI15" s="126">
        <f t="shared" si="26"/>
        <v>258.71345639999998</v>
      </c>
      <c r="AJ15" s="126">
        <f t="shared" si="26"/>
        <v>5.9834449622200525</v>
      </c>
      <c r="AK15" s="126">
        <f t="shared" si="26"/>
        <v>5.0889759999999997</v>
      </c>
      <c r="AL15" s="126">
        <f t="shared" si="26"/>
        <v>610.67711999999995</v>
      </c>
      <c r="AM15" s="126">
        <f t="shared" si="26"/>
        <v>14.551028833877973</v>
      </c>
      <c r="AN15" s="126">
        <f t="shared" si="26"/>
        <v>1.9956520520000001</v>
      </c>
      <c r="AO15" s="126">
        <f t="shared" si="26"/>
        <v>239.47824624</v>
      </c>
      <c r="AP15" s="126">
        <f t="shared" si="26"/>
        <v>4.8235871976908493</v>
      </c>
      <c r="AQ15" s="126">
        <f t="shared" si="26"/>
        <v>2.3895440620000001</v>
      </c>
      <c r="AR15" s="126">
        <f t="shared" si="26"/>
        <v>286.74528743999997</v>
      </c>
      <c r="AS15" s="126">
        <f t="shared" si="26"/>
        <v>6.4847877020781777</v>
      </c>
      <c r="AT15" s="126">
        <f t="shared" si="26"/>
        <v>2.6171408</v>
      </c>
      <c r="AU15" s="126">
        <f t="shared" si="26"/>
        <v>314.05689599999999</v>
      </c>
      <c r="AV15" s="126">
        <f t="shared" si="26"/>
        <v>7.8071399538299788</v>
      </c>
      <c r="AW15" s="126">
        <f t="shared" si="26"/>
        <v>2.2902213920000003</v>
      </c>
      <c r="AX15" s="126">
        <f t="shared" si="26"/>
        <v>274.82656703999999</v>
      </c>
      <c r="AY15" s="126">
        <f t="shared" si="26"/>
        <v>7.1894572497345166</v>
      </c>
      <c r="AZ15" s="27"/>
      <c r="BA15" s="27"/>
      <c r="BB15" s="27"/>
      <c r="BC15" s="27"/>
      <c r="BD15" s="126">
        <f t="shared" si="22"/>
        <v>8.4315459999999991</v>
      </c>
      <c r="BE15" s="44">
        <f>SUM(BE9:BE14)</f>
        <v>1.5696979999999998</v>
      </c>
      <c r="BF15" s="44">
        <f t="shared" ref="BF15:BO15" si="27">SUM(BF9:BF14)</f>
        <v>1.6554580000000001</v>
      </c>
      <c r="BG15" s="44">
        <f t="shared" si="27"/>
        <v>1.7046940000000002</v>
      </c>
      <c r="BH15" s="44">
        <f t="shared" si="27"/>
        <v>1.725527</v>
      </c>
      <c r="BI15" s="44">
        <f t="shared" si="27"/>
        <v>1.7761690000000001</v>
      </c>
      <c r="BJ15" s="44">
        <f t="shared" si="27"/>
        <v>0</v>
      </c>
      <c r="BK15" s="44">
        <f t="shared" si="27"/>
        <v>0</v>
      </c>
      <c r="BL15" s="44">
        <f t="shared" si="27"/>
        <v>0</v>
      </c>
      <c r="BM15" s="44">
        <f t="shared" si="27"/>
        <v>0</v>
      </c>
      <c r="BN15" s="44">
        <f t="shared" si="27"/>
        <v>0</v>
      </c>
      <c r="BO15" s="44">
        <f t="shared" si="27"/>
        <v>0</v>
      </c>
      <c r="BP15" s="27"/>
      <c r="BQ15" s="27"/>
      <c r="BR15" s="173"/>
    </row>
    <row r="16" spans="1:104" ht="21">
      <c r="A16" s="173"/>
      <c r="B16" s="173"/>
      <c r="C16" s="26" t="s">
        <v>40</v>
      </c>
      <c r="D16" s="274" t="s">
        <v>96</v>
      </c>
      <c r="E16" s="27"/>
      <c r="F16" s="27"/>
      <c r="G16" s="166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7"/>
      <c r="AT16" s="127"/>
      <c r="AU16" s="127"/>
      <c r="AV16" s="127"/>
      <c r="AW16" s="127"/>
      <c r="AX16" s="127"/>
      <c r="AY16" s="127"/>
      <c r="AZ16" s="27"/>
      <c r="BA16" s="27"/>
      <c r="BB16" s="27"/>
      <c r="BC16" s="27"/>
      <c r="BD16" s="1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173"/>
    </row>
    <row r="17" spans="1:93" ht="42" customHeight="1">
      <c r="A17" s="173"/>
      <c r="B17" s="173"/>
      <c r="C17" s="26"/>
      <c r="D17" s="278" t="s">
        <v>303</v>
      </c>
      <c r="E17" s="27" t="s">
        <v>65</v>
      </c>
      <c r="F17" s="54" t="s">
        <v>311</v>
      </c>
      <c r="G17" s="164">
        <f>H17+M17+N17+O17+P17</f>
        <v>31.140000000000008</v>
      </c>
      <c r="H17" s="126">
        <f>SUM(I17:L17)</f>
        <v>6.3100000000000005</v>
      </c>
      <c r="I17" s="125">
        <f>0+0+1.21</f>
        <v>1.21</v>
      </c>
      <c r="J17" s="125">
        <f>0+0.25+1.26</f>
        <v>1.51</v>
      </c>
      <c r="K17" s="161">
        <f>0+0.82+2.21</f>
        <v>3.03</v>
      </c>
      <c r="L17" s="125">
        <f>0+0+0.56</f>
        <v>0.56000000000000005</v>
      </c>
      <c r="M17" s="125">
        <f>0+0.91+5.24</f>
        <v>6.15</v>
      </c>
      <c r="N17" s="125">
        <f>0+0.82+5.24</f>
        <v>6.0600000000000005</v>
      </c>
      <c r="O17" s="125">
        <f>0+1.07+5.24</f>
        <v>6.3100000000000005</v>
      </c>
      <c r="P17" s="125">
        <f>0+1.07+5.24</f>
        <v>6.3100000000000005</v>
      </c>
      <c r="Q17" s="27"/>
      <c r="R17" s="27"/>
      <c r="S17" s="27"/>
      <c r="T17" s="27"/>
      <c r="U17" s="27"/>
      <c r="V17" s="27"/>
      <c r="W17" s="27" t="s">
        <v>306</v>
      </c>
      <c r="X17" s="128">
        <f>Y17+AN17+AQ17+AT17+AW17</f>
        <v>0.16515200000000002</v>
      </c>
      <c r="Y17" s="125">
        <f t="shared" ref="Y17:AA17" si="28">AB17+AE17+AH17+AK17</f>
        <v>1.0095999999999999E-2</v>
      </c>
      <c r="Z17" s="125">
        <f t="shared" si="28"/>
        <v>1.2115200000000002</v>
      </c>
      <c r="AA17" s="125">
        <f t="shared" si="28"/>
        <v>1.6296794305792801E-2</v>
      </c>
      <c r="AB17" s="82">
        <v>1.936E-3</v>
      </c>
      <c r="AC17" s="125">
        <f>AB17*1000*0.12</f>
        <v>0.23231999999999997</v>
      </c>
      <c r="AD17" s="125">
        <f>AB17*$BS$7</f>
        <v>2.9488961499651192E-3</v>
      </c>
      <c r="AE17" s="82">
        <v>2.4160000000000002E-3</v>
      </c>
      <c r="AF17" s="125">
        <f>AE17*1000*0.12</f>
        <v>0.28992000000000001</v>
      </c>
      <c r="AG17" s="125">
        <f>AE17*$BT$7</f>
        <v>3.6800274268159756E-3</v>
      </c>
      <c r="AH17" s="82">
        <v>4.8479999999999999E-3</v>
      </c>
      <c r="AI17" s="127">
        <f t="shared" ref="AI17:AI18" si="29">AH17*1000*0.12</f>
        <v>0.58175999999999994</v>
      </c>
      <c r="AJ17" s="125">
        <f>AH17*$BU$7</f>
        <v>8.1597906152940033E-3</v>
      </c>
      <c r="AK17" s="82">
        <v>8.9599999999999999E-4</v>
      </c>
      <c r="AL17" s="127">
        <f t="shared" ref="AL17:AL18" si="30">AK17*1000*0.12</f>
        <v>0.10752</v>
      </c>
      <c r="AM17" s="125">
        <f>AK17*$BV$7</f>
        <v>1.5080801137177036E-3</v>
      </c>
      <c r="AN17" s="125">
        <v>1.5956000000000001E-2</v>
      </c>
      <c r="AO17" s="127">
        <f t="shared" ref="AO17:AO18" si="31">AN17*1000*0.12</f>
        <v>1.91472</v>
      </c>
      <c r="AP17" s="125">
        <f t="shared" ref="AP17:AP18" si="32">AN17*$BW$7</f>
        <v>2.8184369183438765E-2</v>
      </c>
      <c r="AQ17" s="125">
        <v>1.5812E-2</v>
      </c>
      <c r="AR17" s="127">
        <f t="shared" ref="AR17:AR18" si="33">AQ17*1000*0.12</f>
        <v>1.8974399999999998</v>
      </c>
      <c r="AS17" s="125">
        <f t="shared" ref="AS17:AS18" si="34">AQ17*$BX$7</f>
        <v>3.0679311781216887E-2</v>
      </c>
      <c r="AT17" s="125">
        <v>1.6212000000000001E-2</v>
      </c>
      <c r="AU17" s="127">
        <f t="shared" ref="AU17:AU18" si="35">AT17*1000*0.12</f>
        <v>1.9454399999999998</v>
      </c>
      <c r="AV17" s="125">
        <f t="shared" ref="AV17:AV18" si="36">AT17*$BY$7</f>
        <v>3.4443677851599179E-2</v>
      </c>
      <c r="AW17" s="127">
        <v>0.107076</v>
      </c>
      <c r="AX17" s="127">
        <f t="shared" ref="AX17:AX18" si="37">AW17*1000*0.12</f>
        <v>12.849120000000001</v>
      </c>
      <c r="AY17" s="125">
        <f t="shared" ref="AY17:AY18" si="38">AW17*$BZ$7</f>
        <v>0.24910313847660481</v>
      </c>
      <c r="AZ17" s="27">
        <v>1</v>
      </c>
      <c r="BA17" s="27"/>
      <c r="BB17" s="82">
        <v>1.4823200000000001</v>
      </c>
      <c r="BC17" s="27"/>
      <c r="BD17" s="126">
        <f>SUM(BE17:BI17)</f>
        <v>2.9899999999999999E-2</v>
      </c>
      <c r="BE17" s="82">
        <f>0+0.00106+0.013</f>
        <v>1.406E-2</v>
      </c>
      <c r="BF17" s="82">
        <f>0+0.00255+0.00106</f>
        <v>3.6100000000000004E-3</v>
      </c>
      <c r="BG17" s="82">
        <f>0+0.00239+0.00106</f>
        <v>3.4499999999999999E-3</v>
      </c>
      <c r="BH17" s="82">
        <f>0+0.00326+0.00106</f>
        <v>4.3200000000000001E-3</v>
      </c>
      <c r="BI17" s="82">
        <f>0+0.0034+0.00106</f>
        <v>4.4599999999999996E-3</v>
      </c>
      <c r="BJ17" s="44">
        <f>SUM(BK17:BO17)</f>
        <v>0</v>
      </c>
      <c r="BK17" s="27"/>
      <c r="BL17" s="27"/>
      <c r="BM17" s="27"/>
      <c r="BN17" s="27"/>
      <c r="BO17" s="27"/>
      <c r="BP17" s="27" t="s">
        <v>329</v>
      </c>
      <c r="BQ17" s="27"/>
      <c r="BR17" s="182" t="s">
        <v>309</v>
      </c>
      <c r="BX17" s="141"/>
    </row>
    <row r="18" spans="1:93" ht="41.25" customHeight="1">
      <c r="A18" s="173"/>
      <c r="B18" s="173"/>
      <c r="C18" s="26"/>
      <c r="D18" s="278" t="s">
        <v>304</v>
      </c>
      <c r="E18" s="27" t="s">
        <v>308</v>
      </c>
      <c r="F18" s="54" t="s">
        <v>311</v>
      </c>
      <c r="G18" s="164">
        <f t="shared" ref="G18:G21" si="39">H18+M18+N18+O18+P18</f>
        <v>13.4</v>
      </c>
      <c r="H18" s="126">
        <f t="shared" ref="H18:H21" si="40">SUM(I18:L18)</f>
        <v>2.1199999999999997</v>
      </c>
      <c r="I18" s="125">
        <f>0+0+0.16</f>
        <v>0.16</v>
      </c>
      <c r="J18" s="125">
        <f>0+0+0.2</f>
        <v>0.2</v>
      </c>
      <c r="K18" s="161">
        <f>0+0.8+0.39</f>
        <v>1.19</v>
      </c>
      <c r="L18" s="125">
        <f>0+0+0.57</f>
        <v>0.56999999999999995</v>
      </c>
      <c r="M18" s="125">
        <f>0+1.2+1.32</f>
        <v>2.52</v>
      </c>
      <c r="N18" s="125">
        <f>0+1.2+1.32</f>
        <v>2.52</v>
      </c>
      <c r="O18" s="125">
        <f>0+1.6+1.32</f>
        <v>2.92</v>
      </c>
      <c r="P18" s="125">
        <f>0+2+1.32</f>
        <v>3.3200000000000003</v>
      </c>
      <c r="Q18" s="39"/>
      <c r="R18" s="39"/>
      <c r="S18" s="39"/>
      <c r="T18" s="39"/>
      <c r="U18" s="39"/>
      <c r="V18" s="39"/>
      <c r="W18" s="27" t="s">
        <v>306</v>
      </c>
      <c r="X18" s="128">
        <f t="shared" ref="X18:X21" si="41">Y18+AN18+AQ18+AT18+AW18</f>
        <v>1.6080000000000001E-2</v>
      </c>
      <c r="Y18" s="125">
        <f t="shared" ref="Y18" si="42">AB18+AE18+AH18+AK18</f>
        <v>2.5440000000000003E-3</v>
      </c>
      <c r="Z18" s="125">
        <f t="shared" ref="Z18" si="43">AC18+AF18+AI18+AL18</f>
        <v>0.30528</v>
      </c>
      <c r="AA18" s="125">
        <f t="shared" ref="AA18" si="44">AD18+AG18+AJ18+AM18</f>
        <v>3.8749957673095371E-3</v>
      </c>
      <c r="AB18" s="163">
        <v>1.92E-4</v>
      </c>
      <c r="AC18" s="125">
        <f>AB18*1000*0.12</f>
        <v>2.3039999999999998E-2</v>
      </c>
      <c r="AD18" s="125">
        <f>AB18*$BS$7</f>
        <v>2.9245251074034245E-4</v>
      </c>
      <c r="AE18" s="82">
        <v>2.4000000000000001E-4</v>
      </c>
      <c r="AF18" s="125">
        <f>AE18*1000*0.12</f>
        <v>2.8800000000000003E-2</v>
      </c>
      <c r="AG18" s="125">
        <f>AE18*$BT$7</f>
        <v>3.6556563842542802E-4</v>
      </c>
      <c r="AH18" s="82">
        <v>1.428E-3</v>
      </c>
      <c r="AI18" s="127">
        <f t="shared" si="29"/>
        <v>0.17135999999999998</v>
      </c>
      <c r="AJ18" s="125">
        <f t="shared" ref="AJ18" si="45">AH18*$BT$7</f>
        <v>2.1751155486312967E-3</v>
      </c>
      <c r="AK18" s="82">
        <v>6.8400000000000004E-4</v>
      </c>
      <c r="AL18" s="127">
        <f t="shared" si="30"/>
        <v>8.208E-2</v>
      </c>
      <c r="AM18" s="125">
        <f t="shared" ref="AM18" si="46">AK18*$BT$7</f>
        <v>1.04186206951247E-3</v>
      </c>
      <c r="AN18" s="127">
        <v>3.0240000000000002E-3</v>
      </c>
      <c r="AO18" s="127">
        <f t="shared" si="31"/>
        <v>0.36287999999999998</v>
      </c>
      <c r="AP18" s="125">
        <f t="shared" si="32"/>
        <v>5.341534996911433E-3</v>
      </c>
      <c r="AQ18" s="125">
        <v>3.0240000000000002E-3</v>
      </c>
      <c r="AR18" s="127">
        <f t="shared" si="33"/>
        <v>0.36287999999999998</v>
      </c>
      <c r="AS18" s="125">
        <f t="shared" si="34"/>
        <v>5.8673310666835232E-3</v>
      </c>
      <c r="AT18" s="125">
        <v>3.5040000000000002E-3</v>
      </c>
      <c r="AU18" s="127">
        <f t="shared" si="35"/>
        <v>0.42047999999999996</v>
      </c>
      <c r="AV18" s="125">
        <f t="shared" si="36"/>
        <v>7.444525486800118E-3</v>
      </c>
      <c r="AW18" s="127">
        <v>3.9839999999999997E-3</v>
      </c>
      <c r="AX18" s="127">
        <f t="shared" si="37"/>
        <v>0.47807999999999995</v>
      </c>
      <c r="AY18" s="125">
        <f t="shared" si="38"/>
        <v>9.2684346043071589E-3</v>
      </c>
      <c r="AZ18" s="27">
        <v>2</v>
      </c>
      <c r="BA18" s="27">
        <v>275.04000000000002</v>
      </c>
      <c r="BB18" s="82">
        <v>0.41221999999999998</v>
      </c>
      <c r="BC18" s="27"/>
      <c r="BD18" s="126">
        <f t="shared" ref="BD18:BD22" si="47">SUM(BE18:BI18)</f>
        <v>5.0540000000000002E-2</v>
      </c>
      <c r="BE18" s="82">
        <f>0+0.00096+0.0072</f>
        <v>8.1600000000000006E-3</v>
      </c>
      <c r="BF18" s="82">
        <f>0+0.00252+0.0072</f>
        <v>9.7199999999999995E-3</v>
      </c>
      <c r="BG18" s="82">
        <f>0+0.00263+0.0072</f>
        <v>9.8300000000000002E-3</v>
      </c>
      <c r="BH18" s="82">
        <f>0+0.00366+0.0072</f>
        <v>1.086E-2</v>
      </c>
      <c r="BI18" s="82">
        <f>0+0.00477+0.0072</f>
        <v>1.197E-2</v>
      </c>
      <c r="BJ18" s="44">
        <f t="shared" ref="BJ18:BJ21" si="48">SUM(BK18:BO18)</f>
        <v>0</v>
      </c>
      <c r="BK18" s="27"/>
      <c r="BL18" s="27"/>
      <c r="BM18" s="27"/>
      <c r="BN18" s="27"/>
      <c r="BO18" s="27"/>
      <c r="BP18" s="27" t="s">
        <v>329</v>
      </c>
      <c r="BQ18" s="27"/>
      <c r="BR18" s="182" t="s">
        <v>309</v>
      </c>
    </row>
    <row r="19" spans="1:93" ht="41.25" customHeight="1">
      <c r="A19" s="173"/>
      <c r="B19" s="173"/>
      <c r="C19" s="26"/>
      <c r="D19" s="279" t="s">
        <v>349</v>
      </c>
      <c r="E19" s="39" t="s">
        <v>66</v>
      </c>
      <c r="F19" s="40" t="s">
        <v>348</v>
      </c>
      <c r="G19" s="122">
        <f t="shared" ref="G19:G20" si="49">H19+M19+N19+O19+P19</f>
        <v>4119</v>
      </c>
      <c r="H19" s="126">
        <f t="shared" ref="H19:H20" si="50">SUM(I19:L19)</f>
        <v>817</v>
      </c>
      <c r="I19" s="160">
        <f>50+4+50</f>
        <v>104</v>
      </c>
      <c r="J19" s="160">
        <f>100+97+100</f>
        <v>297</v>
      </c>
      <c r="K19" s="162">
        <f>100+114+100</f>
        <v>314</v>
      </c>
      <c r="L19" s="160">
        <f>50+2+50</f>
        <v>102</v>
      </c>
      <c r="M19" s="28">
        <f>300+230+300</f>
        <v>830</v>
      </c>
      <c r="N19" s="125">
        <f>300+220+300</f>
        <v>820</v>
      </c>
      <c r="O19" s="125">
        <f>300+227+300</f>
        <v>827</v>
      </c>
      <c r="P19" s="125">
        <f>300+225+300</f>
        <v>825</v>
      </c>
      <c r="Q19" s="39"/>
      <c r="R19" s="39"/>
      <c r="S19" s="39"/>
      <c r="T19" s="39"/>
      <c r="U19" s="39"/>
      <c r="V19" s="39"/>
      <c r="W19" s="27" t="s">
        <v>306</v>
      </c>
      <c r="X19" s="128">
        <f t="shared" si="41"/>
        <v>0.78869</v>
      </c>
      <c r="Y19" s="125">
        <f>AB19+AE19+AH19+AK19</f>
        <v>0.23851</v>
      </c>
      <c r="Z19" s="125">
        <f t="shared" ref="Y19:AA20" si="51">AC19+AF19+AI19+AL19</f>
        <v>28.621200000000002</v>
      </c>
      <c r="AA19" s="125">
        <f t="shared" si="51"/>
        <v>0.38238912142478282</v>
      </c>
      <c r="AB19" s="82">
        <v>1.8620000000000001E-2</v>
      </c>
      <c r="AC19" s="125">
        <f>AB19*1000*0.12</f>
        <v>2.2343999999999999</v>
      </c>
      <c r="AD19" s="125">
        <f>AB19*$BS$7</f>
        <v>2.8361800781172793E-2</v>
      </c>
      <c r="AE19" s="82">
        <v>0.10051</v>
      </c>
      <c r="AF19" s="125">
        <f>AE19*1000*0.12</f>
        <v>12.061199999999999</v>
      </c>
      <c r="AG19" s="125">
        <f>AE19*$BT$7</f>
        <v>0.15309584299224904</v>
      </c>
      <c r="AH19" s="82">
        <v>3.1919999999999997E-2</v>
      </c>
      <c r="AI19" s="125">
        <f>AH19*1000*0.12</f>
        <v>3.8303999999999996</v>
      </c>
      <c r="AJ19" s="125">
        <f t="shared" ref="AJ19:AJ20" si="52">AH19*$BU$7</f>
        <v>5.3725354051193185E-2</v>
      </c>
      <c r="AK19" s="82">
        <v>8.7459999999999996E-2</v>
      </c>
      <c r="AL19" s="125">
        <f>AK19*1000*0.12</f>
        <v>10.495199999999999</v>
      </c>
      <c r="AM19" s="125">
        <f>AK19*$BV$7</f>
        <v>0.1472061236001678</v>
      </c>
      <c r="AN19" s="127">
        <v>0.13758999999999999</v>
      </c>
      <c r="AO19" s="125">
        <f>AN19*1000*0.12</f>
        <v>16.5108</v>
      </c>
      <c r="AP19" s="125">
        <f>AN19*$BW$7</f>
        <v>0.24303630959822883</v>
      </c>
      <c r="AQ19" s="127">
        <v>0.13749</v>
      </c>
      <c r="AR19" s="125">
        <f>AQ19*1000*0.12</f>
        <v>16.498799999999999</v>
      </c>
      <c r="AS19" s="125">
        <f>AQ19*$BX$7</f>
        <v>0.2667656575258987</v>
      </c>
      <c r="AT19" s="127">
        <v>0.13755999999999999</v>
      </c>
      <c r="AU19" s="125">
        <f>AT19*1000*0.12</f>
        <v>16.507199999999997</v>
      </c>
      <c r="AV19" s="125">
        <f>AT19*$BY$7</f>
        <v>0.29225711357426487</v>
      </c>
      <c r="AW19" s="127">
        <v>0.13754</v>
      </c>
      <c r="AX19" s="125">
        <f>AW19*1000*0.12</f>
        <v>16.504799999999999</v>
      </c>
      <c r="AY19" s="125">
        <f>AW19*$BZ$7</f>
        <v>0.31997502396496152</v>
      </c>
      <c r="AZ19" s="27">
        <v>6.7</v>
      </c>
      <c r="BA19" s="27">
        <v>34.86</v>
      </c>
      <c r="BB19" s="27">
        <v>17.145</v>
      </c>
      <c r="BC19" s="27"/>
      <c r="BD19" s="126">
        <f t="shared" si="47"/>
        <v>6.9676</v>
      </c>
      <c r="BE19" s="132">
        <v>1.3165500000000001</v>
      </c>
      <c r="BF19" s="82">
        <v>1.3852500000000001</v>
      </c>
      <c r="BG19" s="82">
        <v>1.3870199999999999</v>
      </c>
      <c r="BH19" s="82">
        <v>1.4288700000000001</v>
      </c>
      <c r="BI19" s="82">
        <v>1.44991</v>
      </c>
      <c r="BJ19" s="44"/>
      <c r="BK19" s="27"/>
      <c r="BL19" s="27"/>
      <c r="BM19" s="27"/>
      <c r="BN19" s="27"/>
      <c r="BO19" s="27"/>
      <c r="BP19" s="27" t="s">
        <v>331</v>
      </c>
      <c r="BQ19" s="27"/>
      <c r="BR19" s="182"/>
    </row>
    <row r="20" spans="1:93" ht="65.25" customHeight="1">
      <c r="A20" s="173"/>
      <c r="B20" s="173"/>
      <c r="C20" s="26"/>
      <c r="D20" s="280" t="s">
        <v>350</v>
      </c>
      <c r="E20" s="39" t="s">
        <v>66</v>
      </c>
      <c r="F20" s="40" t="s">
        <v>10</v>
      </c>
      <c r="G20" s="164">
        <f t="shared" si="49"/>
        <v>222.45000000000002</v>
      </c>
      <c r="H20" s="44">
        <f t="shared" si="50"/>
        <v>44.49</v>
      </c>
      <c r="I20" s="160">
        <f>0+0+8.38</f>
        <v>8.3800000000000008</v>
      </c>
      <c r="J20" s="160">
        <f>0+0+14.32</f>
        <v>14.32</v>
      </c>
      <c r="K20" s="162">
        <f>0+0+11.68</f>
        <v>11.68</v>
      </c>
      <c r="L20" s="160">
        <f>0+0+10.11</f>
        <v>10.11</v>
      </c>
      <c r="M20" s="125">
        <f>0+0+44.49</f>
        <v>44.49</v>
      </c>
      <c r="N20" s="125">
        <f>0+0+44.49</f>
        <v>44.49</v>
      </c>
      <c r="O20" s="125">
        <f>0+0+44.49</f>
        <v>44.49</v>
      </c>
      <c r="P20" s="125">
        <f>0+0+44.49</f>
        <v>44.49</v>
      </c>
      <c r="Q20" s="39"/>
      <c r="R20" s="39"/>
      <c r="S20" s="39"/>
      <c r="T20" s="39"/>
      <c r="U20" s="39"/>
      <c r="V20" s="39"/>
      <c r="W20" s="27" t="s">
        <v>306</v>
      </c>
      <c r="X20" s="128">
        <f t="shared" si="41"/>
        <v>0.80082000000000009</v>
      </c>
      <c r="Y20" s="125">
        <f t="shared" si="51"/>
        <v>0.160164</v>
      </c>
      <c r="Z20" s="125">
        <f t="shared" si="51"/>
        <v>19.21968</v>
      </c>
      <c r="AA20" s="125">
        <f t="shared" si="51"/>
        <v>0.25650616733974169</v>
      </c>
      <c r="AB20" s="82">
        <v>3.0168000000000004E-2</v>
      </c>
      <c r="AC20" s="125">
        <f>AB20*1000*0.12</f>
        <v>3.6201600000000003</v>
      </c>
      <c r="AD20" s="125">
        <f>AB20*$BS$7</f>
        <v>4.5951600750076309E-2</v>
      </c>
      <c r="AE20" s="82">
        <v>5.1552000000000001E-2</v>
      </c>
      <c r="AF20" s="125">
        <f>AE20*1000*0.12</f>
        <v>6.1862399999999997</v>
      </c>
      <c r="AG20" s="125">
        <f>AE20*$BT$7</f>
        <v>7.852349913378194E-2</v>
      </c>
      <c r="AH20" s="82">
        <v>4.2048000000000002E-2</v>
      </c>
      <c r="AI20" s="125">
        <f>AH20*1000*0.12</f>
        <v>5.0457600000000005</v>
      </c>
      <c r="AJ20" s="125">
        <f t="shared" si="52"/>
        <v>7.0772045336609385E-2</v>
      </c>
      <c r="AK20" s="82">
        <v>3.6395999999999998E-2</v>
      </c>
      <c r="AL20" s="125">
        <f>AK20*1000*0.12</f>
        <v>4.3675199999999998</v>
      </c>
      <c r="AM20" s="125">
        <f>AK20*$BV$7</f>
        <v>6.1259022119274038E-2</v>
      </c>
      <c r="AN20" s="127">
        <v>0.16016400000000003</v>
      </c>
      <c r="AO20" s="125">
        <f>AN20*1000*0.12</f>
        <v>19.21968</v>
      </c>
      <c r="AP20" s="125">
        <f t="shared" ref="AP20" si="53">AN20*$BW$7</f>
        <v>0.28291058572927341</v>
      </c>
      <c r="AQ20" s="127">
        <v>0.16016400000000003</v>
      </c>
      <c r="AR20" s="125">
        <f>AQ20*1000*0.12</f>
        <v>19.21968</v>
      </c>
      <c r="AS20" s="125">
        <f t="shared" ref="AS20" si="54">AQ20*$BX$7</f>
        <v>0.31075899899613096</v>
      </c>
      <c r="AT20" s="127">
        <v>0.16016400000000003</v>
      </c>
      <c r="AU20" s="125">
        <f>AT20*1000*0.12</f>
        <v>19.21968</v>
      </c>
      <c r="AV20" s="125">
        <f t="shared" ref="AV20" si="55">AT20*$BY$7</f>
        <v>0.34028110161753833</v>
      </c>
      <c r="AW20" s="127">
        <v>0.16016400000000003</v>
      </c>
      <c r="AX20" s="125">
        <f>AW20*1000*0.12</f>
        <v>19.21968</v>
      </c>
      <c r="AY20" s="125">
        <f t="shared" ref="AY20" si="56">AW20*$BZ$7</f>
        <v>0.37260782127616776</v>
      </c>
      <c r="AZ20" s="27">
        <v>6.8</v>
      </c>
      <c r="BA20" s="27">
        <v>34.5</v>
      </c>
      <c r="BB20" s="27">
        <v>14.983000000000001</v>
      </c>
      <c r="BC20" s="27"/>
      <c r="BD20" s="126">
        <f t="shared" si="47"/>
        <v>33.585000000000001</v>
      </c>
      <c r="BE20" s="82">
        <f>0+0+3.12+3.597</f>
        <v>6.7170000000000005</v>
      </c>
      <c r="BF20" s="82">
        <f>0+0+3.12+3.597</f>
        <v>6.7170000000000005</v>
      </c>
      <c r="BG20" s="82">
        <f>0+0+3.12+3.597</f>
        <v>6.7170000000000005</v>
      </c>
      <c r="BH20" s="82">
        <f>0+0+3.12+3.597</f>
        <v>6.7170000000000005</v>
      </c>
      <c r="BI20" s="82">
        <f>0+0+3.12+3.597</f>
        <v>6.7170000000000005</v>
      </c>
      <c r="BJ20" s="44"/>
      <c r="BK20" s="27"/>
      <c r="BL20" s="27"/>
      <c r="BM20" s="27"/>
      <c r="BN20" s="27"/>
      <c r="BO20" s="27"/>
      <c r="BP20" s="27" t="s">
        <v>331</v>
      </c>
      <c r="BQ20" s="27"/>
      <c r="BR20" s="182"/>
    </row>
    <row r="21" spans="1:93" ht="21" hidden="1">
      <c r="A21" s="173"/>
      <c r="B21" s="173"/>
      <c r="C21" s="26" t="s">
        <v>95</v>
      </c>
      <c r="D21" s="274"/>
      <c r="E21" s="27"/>
      <c r="F21" s="27"/>
      <c r="G21" s="44">
        <f t="shared" si="39"/>
        <v>0</v>
      </c>
      <c r="H21" s="44">
        <f t="shared" si="40"/>
        <v>0</v>
      </c>
      <c r="I21" s="28"/>
      <c r="J21" s="28"/>
      <c r="K21" s="28"/>
      <c r="L21" s="28"/>
      <c r="M21" s="28"/>
      <c r="N21" s="28"/>
      <c r="O21" s="28"/>
      <c r="P21" s="28"/>
      <c r="Q21" s="39"/>
      <c r="R21" s="39"/>
      <c r="S21" s="39"/>
      <c r="T21" s="39"/>
      <c r="U21" s="39"/>
      <c r="V21" s="39"/>
      <c r="W21" s="27"/>
      <c r="X21" s="44">
        <f t="shared" si="41"/>
        <v>0</v>
      </c>
      <c r="Y21" s="125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27"/>
      <c r="BA21" s="27"/>
      <c r="BB21" s="27"/>
      <c r="BC21" s="27"/>
      <c r="BD21" s="126">
        <f t="shared" si="47"/>
        <v>0</v>
      </c>
      <c r="BE21" s="27"/>
      <c r="BF21" s="27"/>
      <c r="BG21" s="27"/>
      <c r="BH21" s="27"/>
      <c r="BI21" s="27"/>
      <c r="BJ21" s="44">
        <f t="shared" si="48"/>
        <v>0</v>
      </c>
      <c r="BK21" s="27"/>
      <c r="BL21" s="27"/>
      <c r="BM21" s="27"/>
      <c r="BN21" s="27"/>
      <c r="BO21" s="27"/>
      <c r="BP21" s="27"/>
      <c r="BQ21" s="27"/>
      <c r="BR21" s="173"/>
    </row>
    <row r="22" spans="1:93" ht="21">
      <c r="A22" s="173"/>
      <c r="B22" s="173"/>
      <c r="C22" s="55"/>
      <c r="D22" s="277" t="s">
        <v>11</v>
      </c>
      <c r="E22" s="27"/>
      <c r="F22" s="27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27"/>
      <c r="X22" s="126">
        <f t="shared" ref="X22:AY22" si="57">SUM(X16:X21)</f>
        <v>1.7707420000000003</v>
      </c>
      <c r="Y22" s="126">
        <f t="shared" si="57"/>
        <v>0.41131399999999996</v>
      </c>
      <c r="Z22" s="126">
        <f t="shared" si="57"/>
        <v>49.357680000000002</v>
      </c>
      <c r="AA22" s="126">
        <f t="shared" si="57"/>
        <v>0.65906707883762683</v>
      </c>
      <c r="AB22" s="144">
        <f t="shared" si="57"/>
        <v>5.0916000000000003E-2</v>
      </c>
      <c r="AC22" s="126">
        <f t="shared" si="57"/>
        <v>6.1099200000000007</v>
      </c>
      <c r="AD22" s="126">
        <f t="shared" si="57"/>
        <v>7.7554750191954569E-2</v>
      </c>
      <c r="AE22" s="130">
        <f t="shared" si="57"/>
        <v>0.15471800000000002</v>
      </c>
      <c r="AF22" s="126">
        <f t="shared" si="57"/>
        <v>18.56616</v>
      </c>
      <c r="AG22" s="126">
        <f t="shared" si="57"/>
        <v>0.23566493519127241</v>
      </c>
      <c r="AH22" s="126">
        <f t="shared" si="57"/>
        <v>8.0243999999999996E-2</v>
      </c>
      <c r="AI22" s="126">
        <f t="shared" si="57"/>
        <v>9.6292799999999996</v>
      </c>
      <c r="AJ22" s="126">
        <f t="shared" si="57"/>
        <v>0.13483230555172787</v>
      </c>
      <c r="AK22" s="126">
        <f t="shared" si="57"/>
        <v>0.12543599999999999</v>
      </c>
      <c r="AL22" s="126">
        <f t="shared" si="57"/>
        <v>15.052319999999998</v>
      </c>
      <c r="AM22" s="126">
        <f t="shared" si="57"/>
        <v>0.21101508790267201</v>
      </c>
      <c r="AN22" s="126">
        <f t="shared" si="57"/>
        <v>0.31673400000000002</v>
      </c>
      <c r="AO22" s="126">
        <f t="shared" si="57"/>
        <v>38.00808</v>
      </c>
      <c r="AP22" s="126">
        <f t="shared" si="57"/>
        <v>0.55947279950785245</v>
      </c>
      <c r="AQ22" s="126">
        <f t="shared" si="57"/>
        <v>0.31649000000000005</v>
      </c>
      <c r="AR22" s="126">
        <f t="shared" si="57"/>
        <v>37.9788</v>
      </c>
      <c r="AS22" s="126">
        <f t="shared" si="57"/>
        <v>0.61407129936992999</v>
      </c>
      <c r="AT22" s="126">
        <f t="shared" si="57"/>
        <v>0.31744000000000006</v>
      </c>
      <c r="AU22" s="126">
        <f t="shared" si="57"/>
        <v>38.092799999999997</v>
      </c>
      <c r="AV22" s="126">
        <f t="shared" si="57"/>
        <v>0.67442641853020247</v>
      </c>
      <c r="AW22" s="126">
        <f t="shared" si="57"/>
        <v>0.40876400000000002</v>
      </c>
      <c r="AX22" s="126">
        <f t="shared" si="57"/>
        <v>49.051680000000005</v>
      </c>
      <c r="AY22" s="126">
        <f t="shared" si="57"/>
        <v>0.9509544183220412</v>
      </c>
      <c r="AZ22" s="27"/>
      <c r="BA22" s="27"/>
      <c r="BB22" s="27"/>
      <c r="BC22" s="27"/>
      <c r="BD22" s="126">
        <f t="shared" si="47"/>
        <v>40.633040000000008</v>
      </c>
      <c r="BE22" s="126">
        <f t="shared" ref="BE22:BO22" si="58">SUM(BE16:BE21)</f>
        <v>8.0557700000000008</v>
      </c>
      <c r="BF22" s="126">
        <f t="shared" si="58"/>
        <v>8.1155800000000013</v>
      </c>
      <c r="BG22" s="126">
        <f t="shared" si="58"/>
        <v>8.1173000000000002</v>
      </c>
      <c r="BH22" s="126">
        <f t="shared" si="58"/>
        <v>8.1610500000000012</v>
      </c>
      <c r="BI22" s="126">
        <f t="shared" si="58"/>
        <v>8.1833400000000012</v>
      </c>
      <c r="BJ22" s="44">
        <f t="shared" si="58"/>
        <v>0</v>
      </c>
      <c r="BK22" s="44">
        <f t="shared" si="58"/>
        <v>0</v>
      </c>
      <c r="BL22" s="44">
        <f t="shared" si="58"/>
        <v>0</v>
      </c>
      <c r="BM22" s="44">
        <f t="shared" si="58"/>
        <v>0</v>
      </c>
      <c r="BN22" s="44">
        <f t="shared" si="58"/>
        <v>0</v>
      </c>
      <c r="BO22" s="44">
        <f t="shared" si="58"/>
        <v>0</v>
      </c>
      <c r="BP22" s="27"/>
      <c r="BQ22" s="27"/>
      <c r="BR22" s="173"/>
    </row>
    <row r="23" spans="1:93" ht="96" customHeight="1">
      <c r="A23" s="173"/>
      <c r="B23" s="173"/>
      <c r="C23" s="33" t="s">
        <v>41</v>
      </c>
      <c r="D23" s="281" t="s">
        <v>279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 t="s">
        <v>306</v>
      </c>
      <c r="X23" s="27"/>
      <c r="Y23" s="1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127"/>
      <c r="BF23" s="27"/>
      <c r="BG23" s="27"/>
      <c r="BH23" s="146"/>
      <c r="BI23" s="27"/>
      <c r="BJ23" s="27"/>
      <c r="BK23" s="27"/>
      <c r="BL23" s="27"/>
      <c r="BM23" s="27"/>
      <c r="BN23" s="27"/>
      <c r="BO23" s="27"/>
      <c r="BP23" s="27"/>
      <c r="BQ23" s="27"/>
      <c r="BR23" s="173"/>
    </row>
    <row r="24" spans="1:93" ht="21" hidden="1">
      <c r="A24" s="173"/>
      <c r="B24" s="173"/>
      <c r="C24" s="26" t="s">
        <v>116</v>
      </c>
      <c r="D24" s="274" t="s">
        <v>92</v>
      </c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173"/>
    </row>
    <row r="25" spans="1:93" ht="21" hidden="1">
      <c r="A25" s="173"/>
      <c r="B25" s="173"/>
      <c r="C25" s="58"/>
      <c r="D25" s="282"/>
      <c r="E25" s="27"/>
      <c r="F25" s="27"/>
      <c r="G25" s="44">
        <f>H25+M25+N25+O25+P25</f>
        <v>0</v>
      </c>
      <c r="H25" s="44">
        <f>SUM(I25:L25)</f>
        <v>0</v>
      </c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44">
        <f>Y25+AN25+AQ25+AT25+AW25</f>
        <v>0</v>
      </c>
      <c r="Y25" s="79">
        <f t="shared" ref="Y25" si="59">AB25+AE25+AH25+AK25</f>
        <v>0</v>
      </c>
      <c r="Z25" s="79">
        <f t="shared" ref="Z25" si="60">AC25+AF25+AI25+AL25</f>
        <v>0</v>
      </c>
      <c r="AA25" s="79">
        <f t="shared" ref="AA25" si="61">AD25+AG25+AJ25+AM25</f>
        <v>0</v>
      </c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39">
        <f>AK25*1000*0.12</f>
        <v>0</v>
      </c>
      <c r="AM25" s="80">
        <f>AK25*$BS$7</f>
        <v>0</v>
      </c>
      <c r="AN25" s="27"/>
      <c r="AO25" s="27">
        <f>AN25*1000*0.12</f>
        <v>0</v>
      </c>
      <c r="AP25" s="80">
        <f>AN25*$BW$7</f>
        <v>0</v>
      </c>
      <c r="AQ25" s="27"/>
      <c r="AR25" s="27">
        <f>AQ25*1000*0.12</f>
        <v>0</v>
      </c>
      <c r="AS25" s="80">
        <f>AQ25*$BX$7</f>
        <v>0</v>
      </c>
      <c r="AT25" s="27"/>
      <c r="AU25" s="27">
        <f>AT25*1000*0.12</f>
        <v>0</v>
      </c>
      <c r="AV25" s="80">
        <f>AT25*$BY$7</f>
        <v>0</v>
      </c>
      <c r="AW25" s="27"/>
      <c r="AX25" s="27">
        <f>AW25*1000*0.12</f>
        <v>0</v>
      </c>
      <c r="AY25" s="80">
        <f>AW25*$BZ$7</f>
        <v>0</v>
      </c>
      <c r="AZ25" s="27"/>
      <c r="BA25" s="27"/>
      <c r="BB25" s="27"/>
      <c r="BC25" s="27"/>
      <c r="BD25" s="44">
        <f>SUM(BE25:BI25)</f>
        <v>0</v>
      </c>
      <c r="BE25" s="27"/>
      <c r="BF25" s="27"/>
      <c r="BG25" s="27"/>
      <c r="BH25" s="27"/>
      <c r="BI25" s="27"/>
      <c r="BJ25" s="44">
        <f>SUM(BK25:BO25)</f>
        <v>0</v>
      </c>
      <c r="BK25" s="27"/>
      <c r="BL25" s="27"/>
      <c r="BM25" s="27"/>
      <c r="BN25" s="27"/>
      <c r="BO25" s="27"/>
      <c r="BP25" s="27"/>
      <c r="BQ25" s="27"/>
      <c r="BR25" s="173"/>
    </row>
    <row r="26" spans="1:93" ht="21" hidden="1">
      <c r="A26" s="173"/>
      <c r="B26" s="173"/>
      <c r="C26" s="58"/>
      <c r="D26" s="283"/>
      <c r="E26" s="27"/>
      <c r="F26" s="27"/>
      <c r="G26" s="44">
        <f t="shared" ref="G26:G27" si="62">H26+M26+N26+O26+P26</f>
        <v>0</v>
      </c>
      <c r="H26" s="44">
        <f t="shared" ref="H26:H27" si="63">SUM(I26:L26)</f>
        <v>0</v>
      </c>
      <c r="I26" s="28"/>
      <c r="J26" s="28"/>
      <c r="K26" s="28"/>
      <c r="L26" s="28"/>
      <c r="M26" s="28"/>
      <c r="N26" s="28"/>
      <c r="O26" s="28"/>
      <c r="P26" s="28"/>
      <c r="Q26" s="39"/>
      <c r="R26" s="39"/>
      <c r="S26" s="39"/>
      <c r="T26" s="39"/>
      <c r="U26" s="39"/>
      <c r="V26" s="39"/>
      <c r="W26" s="27"/>
      <c r="X26" s="44">
        <f t="shared" ref="X26:X27" si="64">Y26+AN26+AQ26+AT26+AW26</f>
        <v>0</v>
      </c>
      <c r="Y26" s="39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44">
        <f t="shared" ref="BD26:BD27" si="65">SUM(BE26:BI26)</f>
        <v>0</v>
      </c>
      <c r="BE26" s="39"/>
      <c r="BF26" s="39"/>
      <c r="BG26" s="39"/>
      <c r="BH26" s="39"/>
      <c r="BI26" s="39"/>
      <c r="BJ26" s="44">
        <f t="shared" ref="BJ26:BJ27" si="66">SUM(BK26:BO26)</f>
        <v>0</v>
      </c>
      <c r="BK26" s="39"/>
      <c r="BL26" s="39"/>
      <c r="BM26" s="39"/>
      <c r="BN26" s="39"/>
      <c r="BO26" s="39"/>
      <c r="BP26" s="27"/>
      <c r="BQ26" s="27"/>
      <c r="BR26" s="173"/>
    </row>
    <row r="27" spans="1:93" ht="21" hidden="1">
      <c r="A27" s="173"/>
      <c r="B27" s="173"/>
      <c r="C27" s="58" t="s">
        <v>95</v>
      </c>
      <c r="D27" s="283"/>
      <c r="E27" s="27"/>
      <c r="F27" s="27"/>
      <c r="G27" s="44">
        <f t="shared" si="62"/>
        <v>0</v>
      </c>
      <c r="H27" s="44">
        <f t="shared" si="63"/>
        <v>0</v>
      </c>
      <c r="I27" s="28"/>
      <c r="J27" s="28"/>
      <c r="K27" s="28"/>
      <c r="L27" s="28"/>
      <c r="M27" s="28"/>
      <c r="N27" s="28"/>
      <c r="O27" s="28"/>
      <c r="P27" s="28"/>
      <c r="Q27" s="39"/>
      <c r="R27" s="39"/>
      <c r="S27" s="39"/>
      <c r="T27" s="39"/>
      <c r="U27" s="39"/>
      <c r="V27" s="39"/>
      <c r="W27" s="27"/>
      <c r="X27" s="44">
        <f t="shared" si="64"/>
        <v>0</v>
      </c>
      <c r="Y27" s="39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44">
        <f t="shared" si="65"/>
        <v>0</v>
      </c>
      <c r="BE27" s="39"/>
      <c r="BF27" s="39"/>
      <c r="BG27" s="39"/>
      <c r="BH27" s="39"/>
      <c r="BI27" s="39"/>
      <c r="BJ27" s="44">
        <f t="shared" si="66"/>
        <v>0</v>
      </c>
      <c r="BK27" s="39"/>
      <c r="BL27" s="39"/>
      <c r="BM27" s="39"/>
      <c r="BN27" s="39"/>
      <c r="BO27" s="39"/>
      <c r="BP27" s="27"/>
      <c r="BQ27" s="27"/>
      <c r="BR27" s="173"/>
    </row>
    <row r="28" spans="1:93" ht="21" hidden="1">
      <c r="A28" s="173"/>
      <c r="B28" s="173"/>
      <c r="C28" s="55"/>
      <c r="D28" s="277" t="s">
        <v>11</v>
      </c>
      <c r="E28" s="27"/>
      <c r="F28" s="27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27"/>
      <c r="X28" s="57"/>
      <c r="Y28" s="57"/>
      <c r="Z28" s="44">
        <f t="shared" ref="Z28" si="67">SUM(Z24:Z27)</f>
        <v>0</v>
      </c>
      <c r="AA28" s="44">
        <f t="shared" ref="AA28" si="68">SUM(AA24:AA27)</f>
        <v>0</v>
      </c>
      <c r="AB28" s="44">
        <f t="shared" ref="AB28" si="69">SUM(AB24:AB27)</f>
        <v>0</v>
      </c>
      <c r="AC28" s="44">
        <f t="shared" ref="AC28" si="70">SUM(AC24:AC27)</f>
        <v>0</v>
      </c>
      <c r="AD28" s="44">
        <f t="shared" ref="AD28" si="71">SUM(AD24:AD27)</f>
        <v>0</v>
      </c>
      <c r="AE28" s="44">
        <f t="shared" ref="AE28" si="72">SUM(AE24:AE27)</f>
        <v>0</v>
      </c>
      <c r="AF28" s="44">
        <f t="shared" ref="AF28" si="73">SUM(AF24:AF27)</f>
        <v>0</v>
      </c>
      <c r="AG28" s="44">
        <f t="shared" ref="AG28" si="74">SUM(AG24:AG27)</f>
        <v>0</v>
      </c>
      <c r="AH28" s="44">
        <f t="shared" ref="AH28" si="75">SUM(AH24:AH27)</f>
        <v>0</v>
      </c>
      <c r="AI28" s="44">
        <f t="shared" ref="AI28" si="76">SUM(AI24:AI27)</f>
        <v>0</v>
      </c>
      <c r="AJ28" s="44">
        <f t="shared" ref="AJ28" si="77">SUM(AJ24:AJ27)</f>
        <v>0</v>
      </c>
      <c r="AK28" s="44">
        <f t="shared" ref="AK28" si="78">SUM(AK24:AK27)</f>
        <v>0</v>
      </c>
      <c r="AL28" s="44">
        <f t="shared" ref="AL28" si="79">SUM(AL24:AL27)</f>
        <v>0</v>
      </c>
      <c r="AM28" s="44">
        <f t="shared" ref="AM28" si="80">SUM(AM24:AM27)</f>
        <v>0</v>
      </c>
      <c r="AN28" s="44">
        <f t="shared" ref="AN28" si="81">SUM(AN24:AN27)</f>
        <v>0</v>
      </c>
      <c r="AO28" s="44">
        <f t="shared" ref="AO28" si="82">SUM(AO24:AO27)</f>
        <v>0</v>
      </c>
      <c r="AP28" s="44">
        <f t="shared" ref="AP28" si="83">SUM(AP24:AP27)</f>
        <v>0</v>
      </c>
      <c r="AQ28" s="44">
        <f t="shared" ref="AQ28" si="84">SUM(AQ24:AQ27)</f>
        <v>0</v>
      </c>
      <c r="AR28" s="44">
        <f t="shared" ref="AR28" si="85">SUM(AR24:AR27)</f>
        <v>0</v>
      </c>
      <c r="AS28" s="44">
        <f t="shared" ref="AS28" si="86">SUM(AS24:AS27)</f>
        <v>0</v>
      </c>
      <c r="AT28" s="44">
        <f t="shared" ref="AT28" si="87">SUM(AT24:AT27)</f>
        <v>0</v>
      </c>
      <c r="AU28" s="44">
        <f t="shared" ref="AU28" si="88">SUM(AU24:AU27)</f>
        <v>0</v>
      </c>
      <c r="AV28" s="44">
        <f t="shared" ref="AV28" si="89">SUM(AV24:AV27)</f>
        <v>0</v>
      </c>
      <c r="AW28" s="44">
        <f t="shared" ref="AW28" si="90">SUM(AW24:AW27)</f>
        <v>0</v>
      </c>
      <c r="AX28" s="44">
        <f t="shared" ref="AX28" si="91">SUM(AX24:AX27)</f>
        <v>0</v>
      </c>
      <c r="AY28" s="44">
        <f t="shared" ref="AY28" si="92">SUM(AY24:AY27)</f>
        <v>0</v>
      </c>
      <c r="AZ28" s="27"/>
      <c r="BA28" s="27"/>
      <c r="BB28" s="27"/>
      <c r="BC28" s="27"/>
      <c r="BD28" s="44">
        <f t="shared" ref="BD28:BO28" si="93">SUM(BD24:BD27)</f>
        <v>0</v>
      </c>
      <c r="BE28" s="44">
        <f t="shared" si="93"/>
        <v>0</v>
      </c>
      <c r="BF28" s="44">
        <f t="shared" si="93"/>
        <v>0</v>
      </c>
      <c r="BG28" s="44">
        <f t="shared" si="93"/>
        <v>0</v>
      </c>
      <c r="BH28" s="44">
        <f t="shared" si="93"/>
        <v>0</v>
      </c>
      <c r="BI28" s="44">
        <f t="shared" si="93"/>
        <v>0</v>
      </c>
      <c r="BJ28" s="44">
        <f t="shared" si="93"/>
        <v>0</v>
      </c>
      <c r="BK28" s="44">
        <f t="shared" si="93"/>
        <v>0</v>
      </c>
      <c r="BL28" s="44">
        <f t="shared" si="93"/>
        <v>0</v>
      </c>
      <c r="BM28" s="44">
        <f t="shared" si="93"/>
        <v>0</v>
      </c>
      <c r="BN28" s="44">
        <f t="shared" si="93"/>
        <v>0</v>
      </c>
      <c r="BO28" s="44">
        <f t="shared" si="93"/>
        <v>0</v>
      </c>
      <c r="BP28" s="27"/>
      <c r="BQ28" s="27"/>
      <c r="BR28" s="173"/>
      <c r="CH28" s="205"/>
      <c r="CI28" s="205"/>
      <c r="CJ28" s="206"/>
      <c r="CK28" s="207" t="s">
        <v>383</v>
      </c>
      <c r="CL28" s="206"/>
      <c r="CM28" s="206"/>
      <c r="CN28" s="206"/>
      <c r="CO28" s="206"/>
    </row>
    <row r="29" spans="1:93" ht="29.25" customHeight="1">
      <c r="A29" s="173"/>
      <c r="B29" s="173"/>
      <c r="C29" s="26" t="s">
        <v>117</v>
      </c>
      <c r="D29" s="274" t="s">
        <v>96</v>
      </c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173"/>
      <c r="CH29" s="350">
        <v>2015</v>
      </c>
      <c r="CI29" s="350"/>
      <c r="CJ29" s="350"/>
      <c r="CK29" s="350"/>
      <c r="CL29" s="351">
        <v>2016</v>
      </c>
      <c r="CM29" s="351">
        <v>2017</v>
      </c>
      <c r="CN29" s="351">
        <v>2018</v>
      </c>
      <c r="CO29" s="351">
        <v>2019</v>
      </c>
    </row>
    <row r="30" spans="1:93" ht="105">
      <c r="A30" s="173"/>
      <c r="B30" s="173"/>
      <c r="C30" s="58"/>
      <c r="D30" s="282" t="s">
        <v>327</v>
      </c>
      <c r="E30" s="27"/>
      <c r="F30" s="27" t="s">
        <v>377</v>
      </c>
      <c r="G30" s="44">
        <f>H30+M30+N30+O30+P30</f>
        <v>30</v>
      </c>
      <c r="H30" s="44">
        <f>SUM(I30:L30)</f>
        <v>8</v>
      </c>
      <c r="I30" s="27"/>
      <c r="J30" s="27"/>
      <c r="K30" s="27">
        <v>8</v>
      </c>
      <c r="L30" s="27"/>
      <c r="M30" s="27">
        <v>6</v>
      </c>
      <c r="N30" s="27">
        <v>6</v>
      </c>
      <c r="O30" s="27">
        <v>5</v>
      </c>
      <c r="P30" s="27">
        <v>5</v>
      </c>
      <c r="Q30" s="27"/>
      <c r="R30" s="27"/>
      <c r="S30" s="27"/>
      <c r="T30" s="27"/>
      <c r="U30" s="27"/>
      <c r="V30" s="27"/>
      <c r="W30" s="27" t="s">
        <v>306</v>
      </c>
      <c r="X30" s="126">
        <f>Y30+AN30+AQ30+AT30+AW30</f>
        <v>0.39</v>
      </c>
      <c r="Y30" s="79">
        <f t="shared" ref="Y30" si="94">AB30+AE30+AH30+AK30</f>
        <v>0.11900000000000001</v>
      </c>
      <c r="Z30" s="79">
        <f t="shared" ref="Z30" si="95">AC30+AF30+AI30+AL30</f>
        <v>14.280000000000001</v>
      </c>
      <c r="AA30" s="79">
        <f t="shared" ref="AA30" si="96">AD30+AG30+AJ30+AM30</f>
        <v>0.20029189010313253</v>
      </c>
      <c r="AB30" s="27"/>
      <c r="AC30" s="27"/>
      <c r="AD30" s="27"/>
      <c r="AE30" s="27"/>
      <c r="AF30" s="27"/>
      <c r="AG30" s="27"/>
      <c r="AH30" s="27"/>
      <c r="AI30" s="27"/>
      <c r="AJ30" s="27"/>
      <c r="AK30" s="27">
        <f>0.084+0.035</f>
        <v>0.11900000000000001</v>
      </c>
      <c r="AL30" s="39">
        <f>AK30*1000*0.12</f>
        <v>14.280000000000001</v>
      </c>
      <c r="AM30" s="80">
        <f>AK30*$BV$7</f>
        <v>0.20029189010313253</v>
      </c>
      <c r="AN30" s="27">
        <f>0.026+0.045</f>
        <v>7.0999999999999994E-2</v>
      </c>
      <c r="AO30" s="27">
        <f>AN30*1000*0.12</f>
        <v>8.52</v>
      </c>
      <c r="AP30" s="80">
        <f>AN30*$BW$7</f>
        <v>0.12541302406769567</v>
      </c>
      <c r="AQ30" s="27">
        <f>0.025+0.069</f>
        <v>9.4E-2</v>
      </c>
      <c r="AR30" s="27">
        <f>AQ30*1000*0.12</f>
        <v>11.28</v>
      </c>
      <c r="AS30" s="80">
        <f>AQ30*$BX$7</f>
        <v>0.18238396834267565</v>
      </c>
      <c r="AT30" s="27">
        <f>0.015+0.046</f>
        <v>6.0999999999999999E-2</v>
      </c>
      <c r="AU30" s="27">
        <f>AT30*1000*0.12</f>
        <v>7.3199999999999994</v>
      </c>
      <c r="AV30" s="80">
        <f>AT30*$BY$7</f>
        <v>0.12959933067774176</v>
      </c>
      <c r="AW30" s="27">
        <f>0.01+0.035</f>
        <v>4.5000000000000005E-2</v>
      </c>
      <c r="AX30" s="27">
        <f>AW30*1000*0.12</f>
        <v>5.4</v>
      </c>
      <c r="AY30" s="80">
        <f>AW30*$BZ$7</f>
        <v>0.10468864387395137</v>
      </c>
      <c r="AZ30" s="27"/>
      <c r="BA30" s="27"/>
      <c r="BB30" s="27"/>
      <c r="BC30" s="27"/>
      <c r="BD30" s="44">
        <f>SUM(BE30:BI30)</f>
        <v>3.6</v>
      </c>
      <c r="BE30" s="27">
        <f>0.48+0.48</f>
        <v>0.96</v>
      </c>
      <c r="BF30" s="27">
        <f>0.24+0.48</f>
        <v>0.72</v>
      </c>
      <c r="BG30" s="27">
        <f>0.24+0.48</f>
        <v>0.72</v>
      </c>
      <c r="BH30" s="27">
        <f>0.24+0.36</f>
        <v>0.6</v>
      </c>
      <c r="BI30" s="27">
        <f>0.24+0.36</f>
        <v>0.6</v>
      </c>
      <c r="BJ30" s="44">
        <f>SUM(BK30:BO30)</f>
        <v>0</v>
      </c>
      <c r="BK30" s="27"/>
      <c r="BL30" s="27"/>
      <c r="BM30" s="27"/>
      <c r="BN30" s="27"/>
      <c r="BO30" s="27"/>
      <c r="BP30" s="27" t="s">
        <v>331</v>
      </c>
      <c r="BQ30" s="27"/>
      <c r="BR30" s="173"/>
      <c r="CH30" s="72" t="s">
        <v>313</v>
      </c>
      <c r="CI30" s="72" t="s">
        <v>314</v>
      </c>
      <c r="CJ30" s="72" t="s">
        <v>315</v>
      </c>
      <c r="CK30" s="72" t="s">
        <v>316</v>
      </c>
      <c r="CL30" s="352"/>
      <c r="CM30" s="352"/>
      <c r="CN30" s="352"/>
      <c r="CO30" s="352"/>
    </row>
    <row r="31" spans="1:93" hidden="1">
      <c r="A31" s="173"/>
      <c r="B31" s="173"/>
      <c r="C31" s="58"/>
      <c r="D31" s="173"/>
      <c r="E31" s="27"/>
      <c r="F31" s="27"/>
      <c r="G31" s="44">
        <f t="shared" ref="G31:G32" si="97">H31+M31+N31+O31+P31</f>
        <v>0</v>
      </c>
      <c r="H31" s="44">
        <f t="shared" ref="H31:H32" si="98">SUM(I31:L31)</f>
        <v>0</v>
      </c>
      <c r="I31" s="28"/>
      <c r="J31" s="28"/>
      <c r="K31" s="28"/>
      <c r="L31" s="28"/>
      <c r="M31" s="28"/>
      <c r="N31" s="28"/>
      <c r="O31" s="28"/>
      <c r="P31" s="28"/>
      <c r="Q31" s="39"/>
      <c r="R31" s="39"/>
      <c r="S31" s="39"/>
      <c r="T31" s="39"/>
      <c r="U31" s="39"/>
      <c r="V31" s="39"/>
      <c r="W31" s="27"/>
      <c r="X31" s="44">
        <f t="shared" ref="X31:X32" si="99">Y31+AN31+AQ31+AT31+AW31</f>
        <v>0</v>
      </c>
      <c r="Y31" s="39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44">
        <f t="shared" ref="BD31:BD32" si="100">SUM(BE31:BI31)</f>
        <v>0</v>
      </c>
      <c r="BE31" s="27"/>
      <c r="BF31" s="27"/>
      <c r="BG31" s="27"/>
      <c r="BH31" s="27"/>
      <c r="BI31" s="27"/>
      <c r="BJ31" s="44">
        <f t="shared" ref="BJ31:BJ32" si="101">SUM(BK31:BO31)</f>
        <v>0</v>
      </c>
      <c r="BK31" s="27"/>
      <c r="BL31" s="27"/>
      <c r="BM31" s="27"/>
      <c r="BN31" s="27"/>
      <c r="BO31" s="27"/>
      <c r="BP31" s="27"/>
      <c r="BQ31" s="27"/>
      <c r="BR31" s="173"/>
      <c r="CH31" s="212">
        <v>3.7017899999999999</v>
      </c>
      <c r="CI31" s="212">
        <v>3.7017899999999999</v>
      </c>
      <c r="CJ31" s="209">
        <v>3.88687</v>
      </c>
      <c r="CK31" s="209">
        <v>3.88687</v>
      </c>
      <c r="CL31" s="209">
        <v>4.0131899999999998</v>
      </c>
      <c r="CM31" s="209">
        <v>4.2533450000000004</v>
      </c>
      <c r="CN31" s="209">
        <v>4.4545234999999996</v>
      </c>
      <c r="CO31" s="209">
        <v>4.6416180999999996</v>
      </c>
    </row>
    <row r="32" spans="1:93" hidden="1">
      <c r="A32" s="173"/>
      <c r="B32" s="173"/>
      <c r="C32" s="58" t="s">
        <v>95</v>
      </c>
      <c r="D32" s="173"/>
      <c r="E32" s="27"/>
      <c r="F32" s="27"/>
      <c r="G32" s="44">
        <f t="shared" si="97"/>
        <v>0</v>
      </c>
      <c r="H32" s="44">
        <f t="shared" si="98"/>
        <v>0</v>
      </c>
      <c r="I32" s="28"/>
      <c r="J32" s="28"/>
      <c r="K32" s="28"/>
      <c r="L32" s="28"/>
      <c r="M32" s="28"/>
      <c r="N32" s="28"/>
      <c r="O32" s="28"/>
      <c r="P32" s="28"/>
      <c r="Q32" s="39"/>
      <c r="R32" s="39"/>
      <c r="S32" s="39"/>
      <c r="T32" s="39"/>
      <c r="U32" s="39"/>
      <c r="V32" s="39"/>
      <c r="W32" s="27"/>
      <c r="X32" s="44">
        <f t="shared" si="99"/>
        <v>0</v>
      </c>
      <c r="Y32" s="39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44">
        <f t="shared" si="100"/>
        <v>0</v>
      </c>
      <c r="BE32" s="27"/>
      <c r="BF32" s="27"/>
      <c r="BG32" s="27"/>
      <c r="BH32" s="27"/>
      <c r="BI32" s="27"/>
      <c r="BJ32" s="44">
        <f t="shared" si="101"/>
        <v>0</v>
      </c>
      <c r="BK32" s="27"/>
      <c r="BL32" s="27"/>
      <c r="BM32" s="27"/>
      <c r="BN32" s="27"/>
      <c r="BO32" s="27"/>
      <c r="BP32" s="27"/>
      <c r="BQ32" s="27"/>
      <c r="BR32" s="173"/>
    </row>
    <row r="33" spans="1:104">
      <c r="A33" s="173"/>
      <c r="B33" s="173"/>
      <c r="C33" s="55"/>
      <c r="D33" s="27" t="s">
        <v>11</v>
      </c>
      <c r="E33" s="27"/>
      <c r="F33" s="27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27"/>
      <c r="X33" s="126">
        <f t="shared" ref="X33:Z33" si="102">SUM(X29:X32)</f>
        <v>0.39</v>
      </c>
      <c r="Y33" s="126">
        <f t="shared" si="102"/>
        <v>0.11900000000000001</v>
      </c>
      <c r="Z33" s="44">
        <f t="shared" si="102"/>
        <v>14.280000000000001</v>
      </c>
      <c r="AA33" s="44">
        <f t="shared" ref="AA33" si="103">SUM(AA29:AA32)</f>
        <v>0.20029189010313253</v>
      </c>
      <c r="AB33" s="44">
        <f t="shared" ref="AB33" si="104">SUM(AB29:AB32)</f>
        <v>0</v>
      </c>
      <c r="AC33" s="44">
        <f t="shared" ref="AC33" si="105">SUM(AC29:AC32)</f>
        <v>0</v>
      </c>
      <c r="AD33" s="44">
        <f t="shared" ref="AD33" si="106">SUM(AD29:AD32)</f>
        <v>0</v>
      </c>
      <c r="AE33" s="44">
        <f t="shared" ref="AE33" si="107">SUM(AE29:AE32)</f>
        <v>0</v>
      </c>
      <c r="AF33" s="44">
        <f t="shared" ref="AF33" si="108">SUM(AF29:AF32)</f>
        <v>0</v>
      </c>
      <c r="AG33" s="44">
        <f t="shared" ref="AG33" si="109">SUM(AG29:AG32)</f>
        <v>0</v>
      </c>
      <c r="AH33" s="44">
        <f t="shared" ref="AH33" si="110">SUM(AH29:AH32)</f>
        <v>0</v>
      </c>
      <c r="AI33" s="44">
        <f t="shared" ref="AI33" si="111">SUM(AI29:AI32)</f>
        <v>0</v>
      </c>
      <c r="AJ33" s="44">
        <f t="shared" ref="AJ33" si="112">SUM(AJ29:AJ32)</f>
        <v>0</v>
      </c>
      <c r="AK33" s="44">
        <f t="shared" ref="AK33" si="113">SUM(AK29:AK32)</f>
        <v>0.11900000000000001</v>
      </c>
      <c r="AL33" s="44">
        <f t="shared" ref="AL33" si="114">SUM(AL29:AL32)</f>
        <v>14.280000000000001</v>
      </c>
      <c r="AM33" s="44">
        <f t="shared" ref="AM33" si="115">SUM(AM29:AM32)</f>
        <v>0.20029189010313253</v>
      </c>
      <c r="AN33" s="44">
        <f t="shared" ref="AN33" si="116">SUM(AN29:AN32)</f>
        <v>7.0999999999999994E-2</v>
      </c>
      <c r="AO33" s="44">
        <f t="shared" ref="AO33" si="117">SUM(AO29:AO32)</f>
        <v>8.52</v>
      </c>
      <c r="AP33" s="44">
        <f t="shared" ref="AP33" si="118">SUM(AP29:AP32)</f>
        <v>0.12541302406769567</v>
      </c>
      <c r="AQ33" s="44">
        <f t="shared" ref="AQ33" si="119">SUM(AQ29:AQ32)</f>
        <v>9.4E-2</v>
      </c>
      <c r="AR33" s="44">
        <f t="shared" ref="AR33" si="120">SUM(AR29:AR32)</f>
        <v>11.28</v>
      </c>
      <c r="AS33" s="44">
        <f t="shared" ref="AS33" si="121">SUM(AS29:AS32)</f>
        <v>0.18238396834267565</v>
      </c>
      <c r="AT33" s="44">
        <f t="shared" ref="AT33" si="122">SUM(AT29:AT32)</f>
        <v>6.0999999999999999E-2</v>
      </c>
      <c r="AU33" s="44">
        <f t="shared" ref="AU33" si="123">SUM(AU29:AU32)</f>
        <v>7.3199999999999994</v>
      </c>
      <c r="AV33" s="44">
        <f t="shared" ref="AV33" si="124">SUM(AV29:AV32)</f>
        <v>0.12959933067774176</v>
      </c>
      <c r="AW33" s="44">
        <f t="shared" ref="AW33" si="125">SUM(AW29:AW32)</f>
        <v>4.5000000000000005E-2</v>
      </c>
      <c r="AX33" s="44">
        <f t="shared" ref="AX33" si="126">SUM(AX29:AX32)</f>
        <v>5.4</v>
      </c>
      <c r="AY33" s="44">
        <f t="shared" ref="AY33" si="127">SUM(AY29:AY32)</f>
        <v>0.10468864387395137</v>
      </c>
      <c r="AZ33" s="27"/>
      <c r="BA33" s="27"/>
      <c r="BB33" s="27"/>
      <c r="BC33" s="27"/>
      <c r="BD33" s="44">
        <f t="shared" ref="BD33" si="128">SUM(BD29:BD32)</f>
        <v>3.6</v>
      </c>
      <c r="BE33" s="44">
        <f t="shared" ref="BE33" si="129">SUM(BE29:BE32)</f>
        <v>0.96</v>
      </c>
      <c r="BF33" s="44">
        <f t="shared" ref="BF33" si="130">SUM(BF29:BF32)</f>
        <v>0.72</v>
      </c>
      <c r="BG33" s="44">
        <f t="shared" ref="BG33" si="131">SUM(BG29:BG32)</f>
        <v>0.72</v>
      </c>
      <c r="BH33" s="44">
        <f t="shared" ref="BH33" si="132">SUM(BH29:BH32)</f>
        <v>0.6</v>
      </c>
      <c r="BI33" s="44">
        <f t="shared" ref="BI33" si="133">SUM(BI29:BI32)</f>
        <v>0.6</v>
      </c>
      <c r="BJ33" s="44">
        <f t="shared" ref="BJ33" si="134">SUM(BJ29:BJ32)</f>
        <v>0</v>
      </c>
      <c r="BK33" s="44">
        <f t="shared" ref="BK33" si="135">SUM(BK29:BK32)</f>
        <v>0</v>
      </c>
      <c r="BL33" s="44">
        <f t="shared" ref="BL33" si="136">SUM(BL29:BL32)</f>
        <v>0</v>
      </c>
      <c r="BM33" s="44">
        <f t="shared" ref="BM33" si="137">SUM(BM29:BM32)</f>
        <v>0</v>
      </c>
      <c r="BN33" s="44">
        <f t="shared" ref="BN33" si="138">SUM(BN29:BN32)</f>
        <v>0</v>
      </c>
      <c r="BO33" s="44">
        <f t="shared" ref="BO33" si="139">SUM(BO29:BO32)</f>
        <v>0</v>
      </c>
      <c r="BP33" s="27"/>
      <c r="BQ33" s="27"/>
      <c r="BR33" s="173"/>
      <c r="CH33" s="47" t="s">
        <v>332</v>
      </c>
    </row>
    <row r="34" spans="1:104" ht="149.25" customHeight="1">
      <c r="A34" s="59"/>
      <c r="B34" s="59"/>
      <c r="C34" s="34">
        <v>2</v>
      </c>
      <c r="D34" s="284" t="s">
        <v>280</v>
      </c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173"/>
      <c r="BS34" s="83"/>
      <c r="BT34" s="83"/>
      <c r="BU34" s="83"/>
      <c r="BV34" s="83"/>
      <c r="BW34" s="83"/>
      <c r="BX34" s="83"/>
      <c r="BY34" s="83"/>
      <c r="BZ34" s="83"/>
      <c r="CA34" s="83"/>
      <c r="CB34" s="83"/>
      <c r="CC34" s="83"/>
      <c r="CD34" s="83"/>
      <c r="CE34" s="83"/>
      <c r="CF34" s="83"/>
      <c r="CG34" s="83"/>
      <c r="CH34" s="83"/>
      <c r="CI34" s="83"/>
      <c r="CJ34" s="83"/>
      <c r="CK34" s="83"/>
      <c r="CL34" s="83"/>
      <c r="CM34" s="83"/>
      <c r="CN34" s="83"/>
      <c r="CO34" s="83"/>
      <c r="CP34" s="83"/>
      <c r="CQ34" s="83"/>
      <c r="CR34" s="83"/>
      <c r="CS34" s="83"/>
      <c r="CT34" s="83"/>
      <c r="CU34" s="83"/>
      <c r="CV34" s="83"/>
      <c r="CW34" s="83"/>
      <c r="CX34" s="83"/>
      <c r="CY34" s="83"/>
      <c r="CZ34" s="83"/>
    </row>
    <row r="35" spans="1:104" ht="21">
      <c r="A35" s="173"/>
      <c r="B35" s="173"/>
      <c r="C35" s="26" t="s">
        <v>45</v>
      </c>
      <c r="D35" s="274" t="s">
        <v>92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173"/>
      <c r="BS35" s="83"/>
      <c r="BT35" s="83"/>
      <c r="BU35" s="83"/>
      <c r="BV35" s="83"/>
      <c r="BW35" s="83"/>
      <c r="BX35" s="83"/>
      <c r="BY35" s="83"/>
      <c r="BZ35" s="83"/>
      <c r="CA35" s="83"/>
      <c r="CB35" s="83"/>
      <c r="CC35" s="83"/>
      <c r="CD35" s="83"/>
      <c r="CE35" s="83"/>
      <c r="CF35" s="83"/>
      <c r="CG35" s="83"/>
      <c r="CH35" s="83"/>
      <c r="CI35" s="83"/>
      <c r="CJ35" s="83"/>
      <c r="CK35" s="83"/>
      <c r="CL35" s="83"/>
      <c r="CM35" s="83"/>
      <c r="CN35" s="83"/>
      <c r="CO35" s="83"/>
      <c r="CP35" s="83"/>
      <c r="CQ35" s="83"/>
      <c r="CR35" s="83"/>
      <c r="CS35" s="83"/>
      <c r="CT35" s="83"/>
      <c r="CU35" s="83"/>
      <c r="CV35" s="83"/>
      <c r="CW35" s="83"/>
      <c r="CX35" s="83"/>
      <c r="CY35" s="83"/>
      <c r="CZ35" s="83"/>
    </row>
    <row r="36" spans="1:104" ht="21">
      <c r="A36" s="173"/>
      <c r="B36" s="173"/>
      <c r="C36" s="60" t="s">
        <v>118</v>
      </c>
      <c r="D36" s="285" t="s">
        <v>97</v>
      </c>
      <c r="E36" s="173"/>
      <c r="F36" s="173"/>
      <c r="G36" s="173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  <c r="Y36" s="173"/>
      <c r="Z36" s="173"/>
      <c r="AA36" s="173"/>
      <c r="AB36" s="173"/>
      <c r="AC36" s="173"/>
      <c r="AD36" s="173"/>
      <c r="AE36" s="173"/>
      <c r="AF36" s="173"/>
      <c r="AG36" s="173"/>
      <c r="AH36" s="173"/>
      <c r="AI36" s="173"/>
      <c r="AJ36" s="173"/>
      <c r="AK36" s="173"/>
      <c r="AL36" s="173"/>
      <c r="AM36" s="173"/>
      <c r="AN36" s="173"/>
      <c r="AO36" s="173"/>
      <c r="AP36" s="173"/>
      <c r="AQ36" s="173"/>
      <c r="AR36" s="173"/>
      <c r="AS36" s="173"/>
      <c r="AT36" s="173"/>
      <c r="AU36" s="173"/>
      <c r="AV36" s="173"/>
      <c r="AW36" s="173"/>
      <c r="AX36" s="173"/>
      <c r="AY36" s="173"/>
      <c r="AZ36" s="173"/>
      <c r="BA36" s="173"/>
      <c r="BB36" s="173"/>
      <c r="BC36" s="173"/>
      <c r="BD36" s="27"/>
      <c r="BE36" s="173"/>
      <c r="BF36" s="173"/>
      <c r="BG36" s="173"/>
      <c r="BH36" s="173"/>
      <c r="BI36" s="173"/>
      <c r="BJ36" s="173"/>
      <c r="BK36" s="173"/>
      <c r="BL36" s="173"/>
      <c r="BM36" s="173"/>
      <c r="BN36" s="173"/>
      <c r="BO36" s="173"/>
      <c r="BP36" s="173"/>
      <c r="BQ36" s="173"/>
      <c r="BR36" s="173"/>
      <c r="BS36" s="83"/>
      <c r="BT36" s="83"/>
      <c r="BU36" s="83"/>
      <c r="BV36" s="83"/>
      <c r="BW36" s="83"/>
      <c r="BX36" s="83"/>
      <c r="BY36" s="83"/>
      <c r="BZ36" s="83"/>
      <c r="CA36" s="83"/>
      <c r="CB36" s="83"/>
      <c r="CC36" s="83"/>
      <c r="CD36" s="83"/>
      <c r="CE36" s="83"/>
      <c r="CF36" s="83"/>
      <c r="CG36" s="83"/>
      <c r="CH36" s="83"/>
      <c r="CI36" s="83"/>
      <c r="CJ36" s="83"/>
      <c r="CK36" s="83"/>
      <c r="CL36" s="83"/>
      <c r="CM36" s="83"/>
      <c r="CN36" s="83"/>
      <c r="CO36" s="83"/>
      <c r="CP36" s="83"/>
      <c r="CQ36" s="83"/>
      <c r="CR36" s="83"/>
      <c r="CS36" s="83"/>
      <c r="CT36" s="83"/>
      <c r="CU36" s="83"/>
      <c r="CV36" s="83"/>
      <c r="CW36" s="83"/>
      <c r="CX36" s="83"/>
      <c r="CY36" s="83"/>
      <c r="CZ36" s="83"/>
    </row>
    <row r="37" spans="1:104" ht="63">
      <c r="A37" s="173"/>
      <c r="B37" s="173"/>
      <c r="C37" s="55"/>
      <c r="D37" s="286" t="s">
        <v>323</v>
      </c>
      <c r="E37" s="173"/>
      <c r="F37" s="173"/>
      <c r="G37" s="44">
        <f>H37+M37+N37+O37+P37</f>
        <v>2</v>
      </c>
      <c r="H37" s="44">
        <f>SUM(I37:L37)</f>
        <v>2</v>
      </c>
      <c r="I37" s="173"/>
      <c r="J37" s="173"/>
      <c r="K37" s="173">
        <v>1</v>
      </c>
      <c r="L37" s="173">
        <v>1</v>
      </c>
      <c r="M37" s="173"/>
      <c r="N37" s="173"/>
      <c r="O37" s="173"/>
      <c r="P37" s="173"/>
      <c r="Q37" s="173"/>
      <c r="R37" s="173"/>
      <c r="S37" s="173"/>
      <c r="T37" s="173"/>
      <c r="U37" s="173"/>
      <c r="V37" s="173"/>
      <c r="W37" s="27" t="s">
        <v>306</v>
      </c>
      <c r="X37" s="44">
        <f>Y37+AN37+AQ37+AT37+AW37</f>
        <v>1.9641600000000002E-2</v>
      </c>
      <c r="Y37" s="39">
        <f t="shared" ref="Y37" si="140">AB37+AE37+AH37+AK37</f>
        <v>1.9641600000000002E-2</v>
      </c>
      <c r="Z37" s="39">
        <f t="shared" ref="Z37" si="141">AC37+AF37+AI37+AL37</f>
        <v>2.356992</v>
      </c>
      <c r="AA37" s="39">
        <f t="shared" ref="AA37" si="142">AD37+AG37+AJ37+AM37</f>
        <v>7.6344345792000001E-2</v>
      </c>
      <c r="AB37" s="173"/>
      <c r="AC37" s="173"/>
      <c r="AD37" s="173"/>
      <c r="AE37" s="173"/>
      <c r="AF37" s="27">
        <f>AE37*0.12*1000</f>
        <v>0</v>
      </c>
      <c r="AG37" s="80">
        <f>AE37*$BT$7</f>
        <v>0</v>
      </c>
      <c r="AH37" s="173">
        <f>0.0065472</f>
        <v>6.5472000000000004E-3</v>
      </c>
      <c r="AI37" s="45">
        <f t="shared" ref="AI37:AI41" si="143">AH37*0.12*1000</f>
        <v>0.78566400000000003</v>
      </c>
      <c r="AJ37" s="39">
        <f>AH37*$CJ$31</f>
        <v>2.5448115264000003E-2</v>
      </c>
      <c r="AK37" s="173">
        <f>0.0130944</f>
        <v>1.3094400000000001E-2</v>
      </c>
      <c r="AL37" s="45">
        <f t="shared" ref="AL37" si="144">AK37*0.12*1000</f>
        <v>1.5713280000000001</v>
      </c>
      <c r="AM37" s="80">
        <f>AK37*$CK$31</f>
        <v>5.0896230528000005E-2</v>
      </c>
      <c r="AN37" s="173"/>
      <c r="AO37" s="173"/>
      <c r="AP37" s="173"/>
      <c r="AQ37" s="173"/>
      <c r="AR37" s="173"/>
      <c r="AS37" s="173"/>
      <c r="AT37" s="173"/>
      <c r="AU37" s="173"/>
      <c r="AV37" s="173"/>
      <c r="AW37" s="173"/>
      <c r="AX37" s="173"/>
      <c r="AY37" s="173"/>
      <c r="AZ37" s="173"/>
      <c r="BA37" s="173"/>
      <c r="BB37" s="173"/>
      <c r="BC37" s="173"/>
      <c r="BD37" s="44">
        <f t="shared" ref="BD37:BD45" si="145">SUM(BE37:BI37)</f>
        <v>2.8500000000000001E-2</v>
      </c>
      <c r="BE37" s="173">
        <f>0.0285</f>
        <v>2.8500000000000001E-2</v>
      </c>
      <c r="BF37" s="173">
        <f>0</f>
        <v>0</v>
      </c>
      <c r="BG37" s="27">
        <f>0</f>
        <v>0</v>
      </c>
      <c r="BH37" s="27">
        <f>0</f>
        <v>0</v>
      </c>
      <c r="BI37" s="27">
        <f>0</f>
        <v>0</v>
      </c>
      <c r="BJ37" s="173"/>
      <c r="BK37" s="173"/>
      <c r="BL37" s="173"/>
      <c r="BM37" s="173"/>
      <c r="BN37" s="173"/>
      <c r="BO37" s="173"/>
      <c r="BP37" s="27" t="s">
        <v>331</v>
      </c>
      <c r="BQ37" s="173"/>
      <c r="BR37" s="173"/>
      <c r="BS37" s="83"/>
      <c r="BT37" s="83"/>
      <c r="BU37" s="83"/>
      <c r="BV37" s="83"/>
      <c r="BW37" s="83"/>
      <c r="BX37" s="83"/>
      <c r="BY37" s="83"/>
      <c r="BZ37" s="83"/>
      <c r="CA37" s="83"/>
      <c r="CB37" s="83"/>
      <c r="CC37" s="83"/>
      <c r="CD37" s="83"/>
      <c r="CE37" s="83"/>
      <c r="CF37" s="83"/>
      <c r="CG37" s="83"/>
      <c r="CH37" s="83"/>
      <c r="CI37" s="83"/>
      <c r="CJ37" s="83"/>
      <c r="CK37" s="83"/>
      <c r="CL37" s="83"/>
      <c r="CM37" s="83"/>
      <c r="CN37" s="83"/>
      <c r="CO37" s="83"/>
      <c r="CP37" s="83"/>
      <c r="CQ37" s="83"/>
      <c r="CR37" s="83"/>
      <c r="CS37" s="83"/>
      <c r="CT37" s="83"/>
      <c r="CU37" s="83"/>
      <c r="CV37" s="83"/>
      <c r="CW37" s="83"/>
      <c r="CX37" s="83"/>
      <c r="CY37" s="83"/>
      <c r="CZ37" s="83"/>
    </row>
    <row r="38" spans="1:104" ht="42">
      <c r="A38" s="173"/>
      <c r="B38" s="173"/>
      <c r="C38" s="55"/>
      <c r="D38" s="286" t="s">
        <v>328</v>
      </c>
      <c r="E38" s="173"/>
      <c r="F38" s="173"/>
      <c r="G38" s="44">
        <f>H38+M38+N38+O38+P38</f>
        <v>1</v>
      </c>
      <c r="H38" s="44">
        <f>SUM(I38:L38)</f>
        <v>0</v>
      </c>
      <c r="I38" s="173"/>
      <c r="J38" s="173"/>
      <c r="K38" s="173"/>
      <c r="L38" s="173"/>
      <c r="M38" s="173"/>
      <c r="N38" s="173"/>
      <c r="O38" s="173">
        <v>1</v>
      </c>
      <c r="P38" s="173"/>
      <c r="Q38" s="173"/>
      <c r="R38" s="173"/>
      <c r="S38" s="173"/>
      <c r="T38" s="173"/>
      <c r="U38" s="173"/>
      <c r="V38" s="173"/>
      <c r="W38" s="27" t="s">
        <v>306</v>
      </c>
      <c r="X38" s="44">
        <f>Y38+AN38+AQ38+AT38+AW38</f>
        <v>5.8129999999999996E-3</v>
      </c>
      <c r="Y38" s="39"/>
      <c r="Z38" s="39"/>
      <c r="AA38" s="39"/>
      <c r="AB38" s="173"/>
      <c r="AC38" s="173"/>
      <c r="AD38" s="173"/>
      <c r="AE38" s="173"/>
      <c r="AF38" s="27"/>
      <c r="AG38" s="80"/>
      <c r="AH38" s="173"/>
      <c r="AI38" s="45"/>
      <c r="AJ38" s="39"/>
      <c r="AK38" s="173"/>
      <c r="AL38" s="45"/>
      <c r="AM38" s="39"/>
      <c r="AN38" s="173"/>
      <c r="AO38" s="173"/>
      <c r="AP38" s="173"/>
      <c r="AQ38" s="173"/>
      <c r="AR38" s="173"/>
      <c r="AS38" s="173"/>
      <c r="AT38" s="173">
        <v>5.8129999999999996E-3</v>
      </c>
      <c r="AU38" s="27">
        <f>AT38*0.12*1000</f>
        <v>0.69755999999999996</v>
      </c>
      <c r="AV38" s="80">
        <f>AT38*$CN$31</f>
        <v>2.5894145105499995E-2</v>
      </c>
      <c r="AW38" s="173"/>
      <c r="AX38" s="173"/>
      <c r="AY38" s="173"/>
      <c r="AZ38" s="173"/>
      <c r="BA38" s="173"/>
      <c r="BB38" s="173"/>
      <c r="BC38" s="173"/>
      <c r="BD38" s="44">
        <f t="shared" si="145"/>
        <v>0.25</v>
      </c>
      <c r="BE38" s="173"/>
      <c r="BF38" s="173"/>
      <c r="BG38" s="27"/>
      <c r="BH38" s="27">
        <v>0.25</v>
      </c>
      <c r="BI38" s="27"/>
      <c r="BJ38" s="173"/>
      <c r="BK38" s="173"/>
      <c r="BL38" s="173"/>
      <c r="BM38" s="173"/>
      <c r="BN38" s="173"/>
      <c r="BO38" s="173"/>
      <c r="BP38" s="27" t="s">
        <v>329</v>
      </c>
      <c r="BQ38" s="173"/>
      <c r="BR38" s="173"/>
      <c r="BS38" s="83"/>
      <c r="BT38" s="83"/>
      <c r="BU38" s="83"/>
      <c r="BV38" s="83"/>
      <c r="BW38" s="83"/>
      <c r="BX38" s="83"/>
      <c r="BY38" s="83"/>
      <c r="BZ38" s="83"/>
      <c r="CA38" s="83"/>
      <c r="CB38" s="83"/>
      <c r="CC38" s="83"/>
      <c r="CD38" s="83"/>
      <c r="CE38" s="83"/>
      <c r="CF38" s="83"/>
      <c r="CG38" s="83"/>
      <c r="CH38" s="83"/>
      <c r="CI38" s="83"/>
      <c r="CJ38" s="83"/>
      <c r="CK38" s="83"/>
      <c r="CL38" s="83"/>
      <c r="CM38" s="83"/>
      <c r="CN38" s="83"/>
      <c r="CO38" s="83"/>
      <c r="CP38" s="83"/>
      <c r="CQ38" s="83"/>
      <c r="CR38" s="83"/>
      <c r="CS38" s="83"/>
      <c r="CT38" s="83"/>
      <c r="CU38" s="83"/>
      <c r="CV38" s="83"/>
      <c r="CW38" s="83"/>
      <c r="CX38" s="83"/>
      <c r="CY38" s="83"/>
      <c r="CZ38" s="83"/>
    </row>
    <row r="39" spans="1:104" ht="21" customHeight="1">
      <c r="A39" s="173"/>
      <c r="B39" s="173"/>
      <c r="C39" s="55"/>
      <c r="D39" s="286" t="s">
        <v>321</v>
      </c>
      <c r="E39" s="173"/>
      <c r="F39" s="173"/>
      <c r="G39" s="44">
        <f>H39+M39+N39+O39+P39</f>
        <v>1</v>
      </c>
      <c r="H39" s="44">
        <f>SUM(I39:L39)</f>
        <v>1</v>
      </c>
      <c r="I39" s="173"/>
      <c r="J39" s="173">
        <v>1</v>
      </c>
      <c r="K39" s="173"/>
      <c r="L39" s="173"/>
      <c r="M39" s="173"/>
      <c r="N39" s="173"/>
      <c r="O39" s="173"/>
      <c r="P39" s="173"/>
      <c r="Q39" s="173"/>
      <c r="R39" s="173"/>
      <c r="S39" s="173"/>
      <c r="T39" s="173"/>
      <c r="U39" s="173"/>
      <c r="V39" s="173"/>
      <c r="W39" s="27" t="s">
        <v>306</v>
      </c>
      <c r="X39" s="44">
        <f>Y39+AN39+AQ39+AT39+AW39</f>
        <v>1.9599999999999999E-2</v>
      </c>
      <c r="Y39" s="39">
        <f t="shared" ref="Y39:AA44" si="146">AB39+AE39+AH39+AK39</f>
        <v>1.9599999999999999E-2</v>
      </c>
      <c r="Z39" s="39">
        <f t="shared" si="146"/>
        <v>2.3519999999999999</v>
      </c>
      <c r="AA39" s="39">
        <f t="shared" si="146"/>
        <v>7.2555083999999992E-2</v>
      </c>
      <c r="AB39" s="173"/>
      <c r="AC39" s="27"/>
      <c r="AD39" s="80"/>
      <c r="AE39" s="173">
        <f>0.0196</f>
        <v>1.9599999999999999E-2</v>
      </c>
      <c r="AF39" s="27">
        <f>AE39*0.12*1000</f>
        <v>2.3519999999999999</v>
      </c>
      <c r="AG39" s="80">
        <f>AE39*$CI$31</f>
        <v>7.2555083999999992E-2</v>
      </c>
      <c r="AH39" s="173"/>
      <c r="AI39" s="45">
        <f t="shared" si="143"/>
        <v>0</v>
      </c>
      <c r="AJ39" s="39">
        <f t="shared" ref="AJ39:AJ40" si="147">AH39*$BU$7</f>
        <v>0</v>
      </c>
      <c r="AK39" s="173"/>
      <c r="AL39" s="173"/>
      <c r="AM39" s="173"/>
      <c r="AN39" s="173"/>
      <c r="AO39" s="173"/>
      <c r="AP39" s="173"/>
      <c r="AQ39" s="173"/>
      <c r="AR39" s="173"/>
      <c r="AS39" s="173"/>
      <c r="AT39" s="173"/>
      <c r="AU39" s="173"/>
      <c r="AV39" s="173"/>
      <c r="AW39" s="173"/>
      <c r="AX39" s="173"/>
      <c r="AY39" s="173"/>
      <c r="AZ39" s="173"/>
      <c r="BA39" s="173"/>
      <c r="BB39" s="173"/>
      <c r="BC39" s="173"/>
      <c r="BD39" s="44">
        <f t="shared" si="145"/>
        <v>0.23</v>
      </c>
      <c r="BE39" s="173">
        <f>0.23</f>
        <v>0.23</v>
      </c>
      <c r="BF39" s="27">
        <f>0</f>
        <v>0</v>
      </c>
      <c r="BG39" s="27">
        <f>0</f>
        <v>0</v>
      </c>
      <c r="BH39" s="27">
        <f>0</f>
        <v>0</v>
      </c>
      <c r="BI39" s="27">
        <f>0</f>
        <v>0</v>
      </c>
      <c r="BJ39" s="173"/>
      <c r="BK39" s="173"/>
      <c r="BL39" s="173"/>
      <c r="BM39" s="173"/>
      <c r="BN39" s="173"/>
      <c r="BO39" s="173"/>
      <c r="BP39" s="173"/>
      <c r="BQ39" s="173"/>
      <c r="BR39" s="173"/>
      <c r="BS39" s="83"/>
      <c r="BT39" s="83"/>
      <c r="BU39" s="83"/>
      <c r="BV39" s="83"/>
      <c r="BW39" s="83"/>
      <c r="BX39" s="83"/>
      <c r="BY39" s="83"/>
      <c r="BZ39" s="83"/>
      <c r="CA39" s="83"/>
      <c r="CB39" s="83"/>
      <c r="CC39" s="83"/>
      <c r="CD39" s="83"/>
      <c r="CE39" s="83"/>
      <c r="CF39" s="83"/>
      <c r="CG39" s="83"/>
      <c r="CH39" s="83"/>
      <c r="CI39" s="83"/>
      <c r="CJ39" s="83"/>
      <c r="CK39" s="83"/>
      <c r="CL39" s="83"/>
      <c r="CM39" s="83"/>
      <c r="CN39" s="83"/>
      <c r="CO39" s="83"/>
      <c r="CP39" s="83"/>
      <c r="CQ39" s="83"/>
      <c r="CR39" s="83"/>
      <c r="CS39" s="83"/>
      <c r="CT39" s="83"/>
      <c r="CU39" s="83"/>
      <c r="CV39" s="83"/>
      <c r="CW39" s="83"/>
      <c r="CX39" s="83"/>
      <c r="CY39" s="83"/>
      <c r="CZ39" s="83"/>
    </row>
    <row r="40" spans="1:104" ht="63">
      <c r="A40" s="173"/>
      <c r="B40" s="173"/>
      <c r="C40" s="62"/>
      <c r="D40" s="287" t="s">
        <v>318</v>
      </c>
      <c r="E40" s="173"/>
      <c r="F40" s="173"/>
      <c r="G40" s="44">
        <f>H40+M40+N40+O40+P40</f>
        <v>3</v>
      </c>
      <c r="H40" s="44">
        <f>SUM(I40:L40)</f>
        <v>0</v>
      </c>
      <c r="I40" s="27"/>
      <c r="J40" s="27"/>
      <c r="K40" s="27"/>
      <c r="L40" s="27"/>
      <c r="M40" s="27">
        <v>1</v>
      </c>
      <c r="N40" s="27">
        <v>1</v>
      </c>
      <c r="O40" s="27">
        <v>1</v>
      </c>
      <c r="P40" s="27"/>
      <c r="Q40" s="27"/>
      <c r="R40" s="27"/>
      <c r="S40" s="27"/>
      <c r="T40" s="27"/>
      <c r="U40" s="27"/>
      <c r="V40" s="27"/>
      <c r="W40" s="27" t="s">
        <v>306</v>
      </c>
      <c r="X40" s="44">
        <f>Y40+AN40+AQ40+AT40+AW40</f>
        <v>7.8812999999999994E-2</v>
      </c>
      <c r="Y40" s="39">
        <f t="shared" si="146"/>
        <v>0</v>
      </c>
      <c r="Z40" s="39">
        <f t="shared" si="146"/>
        <v>0</v>
      </c>
      <c r="AA40" s="39">
        <f t="shared" si="146"/>
        <v>0</v>
      </c>
      <c r="AB40" s="27"/>
      <c r="AC40" s="27"/>
      <c r="AD40" s="27"/>
      <c r="AE40" s="27"/>
      <c r="AF40" s="27"/>
      <c r="AG40" s="80"/>
      <c r="AH40" s="27"/>
      <c r="AI40" s="45">
        <f t="shared" si="143"/>
        <v>0</v>
      </c>
      <c r="AJ40" s="39">
        <f t="shared" si="147"/>
        <v>0</v>
      </c>
      <c r="AK40" s="27"/>
      <c r="AL40" s="27"/>
      <c r="AM40" s="27"/>
      <c r="AN40" s="27">
        <f>0.0365</f>
        <v>3.6499999999999998E-2</v>
      </c>
      <c r="AO40" s="27">
        <f>AN40*0.12*1000</f>
        <v>4.379999999999999</v>
      </c>
      <c r="AP40" s="80">
        <f>AN40*$CL$31</f>
        <v>0.14648143499999999</v>
      </c>
      <c r="AQ40" s="27">
        <v>3.6499999999999998E-2</v>
      </c>
      <c r="AR40" s="27">
        <f>AQ40*0.12*1000</f>
        <v>4.379999999999999</v>
      </c>
      <c r="AS40" s="80">
        <f>AQ40*$CM$31</f>
        <v>0.15524709250000002</v>
      </c>
      <c r="AT40" s="27">
        <v>5.8129999999999996E-3</v>
      </c>
      <c r="AU40" s="27">
        <f>AT40*0.12*1000</f>
        <v>0.69755999999999996</v>
      </c>
      <c r="AV40" s="80">
        <f>AT40*$CN$31</f>
        <v>2.5894145105499995E-2</v>
      </c>
      <c r="AW40" s="27"/>
      <c r="AX40" s="27"/>
      <c r="AY40" s="27"/>
      <c r="AZ40" s="27"/>
      <c r="BA40" s="27"/>
      <c r="BB40" s="27"/>
      <c r="BC40" s="27"/>
      <c r="BD40" s="44">
        <f t="shared" si="145"/>
        <v>0.45</v>
      </c>
      <c r="BE40" s="27">
        <f>0</f>
        <v>0</v>
      </c>
      <c r="BF40" s="27">
        <f>0.225+0.225</f>
        <v>0.45</v>
      </c>
      <c r="BG40" s="27">
        <f>0</f>
        <v>0</v>
      </c>
      <c r="BH40" s="27">
        <f>0</f>
        <v>0</v>
      </c>
      <c r="BI40" s="27">
        <f>0</f>
        <v>0</v>
      </c>
      <c r="BJ40" s="44">
        <f>SUM(BK40:BO40)</f>
        <v>0</v>
      </c>
      <c r="BK40" s="27"/>
      <c r="BL40" s="27"/>
      <c r="BM40" s="27"/>
      <c r="BN40" s="27"/>
      <c r="BO40" s="27"/>
      <c r="BP40" s="27" t="s">
        <v>330</v>
      </c>
      <c r="BQ40" s="173"/>
      <c r="BR40" s="173"/>
      <c r="BS40" s="83"/>
      <c r="BT40" s="83"/>
      <c r="BU40" s="83"/>
      <c r="BV40" s="83"/>
      <c r="BW40" s="83"/>
      <c r="BX40" s="83"/>
      <c r="BY40" s="83"/>
      <c r="BZ40" s="83"/>
      <c r="CA40" s="83"/>
      <c r="CB40" s="83"/>
      <c r="CC40" s="83"/>
      <c r="CD40" s="83"/>
      <c r="CE40" s="83"/>
      <c r="CF40" s="83"/>
      <c r="CG40" s="83"/>
      <c r="CH40" s="83"/>
      <c r="CI40" s="83"/>
      <c r="CJ40" s="83"/>
      <c r="CK40" s="83"/>
      <c r="CL40" s="83"/>
      <c r="CM40" s="83"/>
      <c r="CN40" s="83"/>
      <c r="CO40" s="83"/>
      <c r="CP40" s="83"/>
      <c r="CQ40" s="83"/>
      <c r="CR40" s="83"/>
      <c r="CS40" s="83"/>
      <c r="CT40" s="83"/>
      <c r="CU40" s="83"/>
      <c r="CV40" s="83"/>
      <c r="CW40" s="83"/>
      <c r="CX40" s="83"/>
      <c r="CY40" s="83"/>
      <c r="CZ40" s="83"/>
    </row>
    <row r="41" spans="1:104" ht="42">
      <c r="A41" s="173"/>
      <c r="B41" s="173"/>
      <c r="C41" s="62"/>
      <c r="D41" s="287" t="s">
        <v>325</v>
      </c>
      <c r="E41" s="173"/>
      <c r="F41" s="173"/>
      <c r="G41" s="44">
        <f>H41+M41+N41+O41+P41</f>
        <v>3</v>
      </c>
      <c r="H41" s="44">
        <f>SUM(I41:L41)</f>
        <v>3</v>
      </c>
      <c r="I41" s="27">
        <v>1</v>
      </c>
      <c r="J41" s="27">
        <v>1</v>
      </c>
      <c r="K41" s="27">
        <v>1</v>
      </c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 t="s">
        <v>306</v>
      </c>
      <c r="X41" s="44">
        <f>Y41+AN41+AQ41+AT41+AW41</f>
        <v>1.005325E-2</v>
      </c>
      <c r="Y41" s="39">
        <f t="shared" ref="Y41" si="148">AB41+AE41+AH41+AK41</f>
        <v>1.005325E-2</v>
      </c>
      <c r="Z41" s="39">
        <f t="shared" ref="Z41" si="149">AC41+AF41+AI41+AL41</f>
        <v>1.2063899999999999</v>
      </c>
      <c r="AA41" s="39">
        <f t="shared" ref="AA41" si="150">AD41+AG41+AJ41+AM41</f>
        <v>3.8583797965500002E-2</v>
      </c>
      <c r="AB41" s="173">
        <f>0.00019245</f>
        <v>1.9244999999999999E-4</v>
      </c>
      <c r="AC41" s="27">
        <f>AB41*0.12*1000</f>
        <v>2.3094E-2</v>
      </c>
      <c r="AD41" s="80">
        <f>AB41*$CH$31</f>
        <v>7.1240948549999991E-4</v>
      </c>
      <c r="AE41" s="173">
        <f>0.0024652</f>
        <v>2.4651999999999999E-3</v>
      </c>
      <c r="AF41" s="27">
        <f>AE41*0.12*1000</f>
        <v>0.29582399999999998</v>
      </c>
      <c r="AG41" s="80">
        <f>AE41*$CI$31</f>
        <v>9.1256527079999986E-3</v>
      </c>
      <c r="AH41" s="173">
        <f>0.0073956</f>
        <v>7.3955999999999996E-3</v>
      </c>
      <c r="AI41" s="45">
        <f t="shared" si="143"/>
        <v>0.88747199999999993</v>
      </c>
      <c r="AJ41" s="39">
        <f>AH41*$CJ$31</f>
        <v>2.8745735772E-2</v>
      </c>
      <c r="AK41" s="27"/>
      <c r="AL41" s="27"/>
      <c r="AM41" s="27"/>
      <c r="AN41" s="27"/>
      <c r="AO41" s="27"/>
      <c r="AP41" s="80"/>
      <c r="AQ41" s="27"/>
      <c r="AR41" s="27"/>
      <c r="AS41" s="80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44">
        <f t="shared" si="145"/>
        <v>0.12</v>
      </c>
      <c r="BE41" s="27">
        <f>0.105+0.015</f>
        <v>0.12</v>
      </c>
      <c r="BF41" s="27">
        <f>0</f>
        <v>0</v>
      </c>
      <c r="BG41" s="27">
        <f>0</f>
        <v>0</v>
      </c>
      <c r="BH41" s="27">
        <f>0</f>
        <v>0</v>
      </c>
      <c r="BI41" s="27">
        <f>0</f>
        <v>0</v>
      </c>
      <c r="BJ41" s="44"/>
      <c r="BK41" s="27"/>
      <c r="BL41" s="27"/>
      <c r="BM41" s="27"/>
      <c r="BN41" s="27"/>
      <c r="BO41" s="27"/>
      <c r="BP41" s="27" t="s">
        <v>330</v>
      </c>
      <c r="BQ41" s="173"/>
      <c r="BR41" s="173"/>
      <c r="BS41" s="83"/>
      <c r="BT41" s="83"/>
      <c r="BU41" s="83"/>
      <c r="BV41" s="83"/>
      <c r="BW41" s="83"/>
      <c r="BX41" s="83"/>
      <c r="BY41" s="83"/>
      <c r="BZ41" s="83"/>
      <c r="CA41" s="83"/>
      <c r="CB41" s="83"/>
      <c r="CC41" s="83"/>
      <c r="CD41" s="83"/>
      <c r="CE41" s="83"/>
      <c r="CF41" s="83"/>
      <c r="CG41" s="83"/>
      <c r="CH41" s="83"/>
      <c r="CI41" s="83"/>
      <c r="CJ41" s="83"/>
      <c r="CK41" s="83"/>
      <c r="CL41" s="83"/>
      <c r="CM41" s="83"/>
      <c r="CN41" s="83"/>
      <c r="CO41" s="83"/>
      <c r="CP41" s="83"/>
      <c r="CQ41" s="83"/>
      <c r="CR41" s="83"/>
      <c r="CS41" s="83"/>
      <c r="CT41" s="83"/>
      <c r="CU41" s="83"/>
      <c r="CV41" s="83"/>
      <c r="CW41" s="83"/>
      <c r="CX41" s="83"/>
      <c r="CY41" s="83"/>
      <c r="CZ41" s="83"/>
    </row>
    <row r="42" spans="1:104" ht="42">
      <c r="A42" s="173"/>
      <c r="B42" s="173"/>
      <c r="C42" s="62"/>
      <c r="D42" s="287" t="s">
        <v>319</v>
      </c>
      <c r="E42" s="173"/>
      <c r="F42" s="173"/>
      <c r="G42" s="44">
        <f t="shared" ref="G42:G44" si="151">H42+M42+N42+O42+P42</f>
        <v>7</v>
      </c>
      <c r="H42" s="44">
        <f t="shared" ref="H42:H44" si="152">SUM(I42:L42)</f>
        <v>4</v>
      </c>
      <c r="I42" s="28"/>
      <c r="J42" s="28"/>
      <c r="K42" s="28">
        <v>4</v>
      </c>
      <c r="L42" s="28"/>
      <c r="M42" s="28">
        <v>2</v>
      </c>
      <c r="N42" s="28">
        <v>1</v>
      </c>
      <c r="O42" s="28"/>
      <c r="P42" s="28"/>
      <c r="Q42" s="39"/>
      <c r="R42" s="39"/>
      <c r="S42" s="39"/>
      <c r="T42" s="39"/>
      <c r="U42" s="39"/>
      <c r="V42" s="39"/>
      <c r="W42" s="27" t="s">
        <v>306</v>
      </c>
      <c r="X42" s="44">
        <f t="shared" ref="X42:X44" si="153">Y42+AN42+AQ42+AT42+AW42</f>
        <v>6.0899999999999996E-2</v>
      </c>
      <c r="Y42" s="39">
        <f t="shared" si="146"/>
        <v>3.8199999999999998E-2</v>
      </c>
      <c r="Z42" s="39">
        <f t="shared" si="146"/>
        <v>4.5839999999999996</v>
      </c>
      <c r="AA42" s="39">
        <f t="shared" si="146"/>
        <v>0.14847843399999999</v>
      </c>
      <c r="AB42" s="39"/>
      <c r="AC42" s="39"/>
      <c r="AD42" s="39"/>
      <c r="AE42" s="39"/>
      <c r="AF42" s="27"/>
      <c r="AG42" s="80"/>
      <c r="AH42" s="39">
        <f>0.00095+0.0035+0.003+0.03075</f>
        <v>3.8199999999999998E-2</v>
      </c>
      <c r="AI42" s="45">
        <f>AH42*0.12*1000</f>
        <v>4.5839999999999996</v>
      </c>
      <c r="AJ42" s="39">
        <f>AH42*$CJ$31</f>
        <v>0.14847843399999999</v>
      </c>
      <c r="AK42" s="39"/>
      <c r="AL42" s="39"/>
      <c r="AM42" s="39"/>
      <c r="AN42" s="39">
        <f>0.0045+0.0137</f>
        <v>1.8200000000000001E-2</v>
      </c>
      <c r="AO42" s="27">
        <f>AN42*0.12*1000</f>
        <v>2.1840000000000002</v>
      </c>
      <c r="AP42" s="80">
        <f>AN42*$CL$31</f>
        <v>7.3040058000000005E-2</v>
      </c>
      <c r="AQ42" s="39">
        <f>0.0045</f>
        <v>4.4999999999999997E-3</v>
      </c>
      <c r="AR42" s="27">
        <f>AQ42*0.12*1000</f>
        <v>0.53999999999999992</v>
      </c>
      <c r="AS42" s="80">
        <f>AQ42*$CM$31</f>
        <v>1.9140052500000001E-2</v>
      </c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44">
        <f t="shared" si="145"/>
        <v>0.14695</v>
      </c>
      <c r="BE42" s="39">
        <f>0.00165+0.0023+0.003+0.075</f>
        <v>8.1949999999999995E-2</v>
      </c>
      <c r="BF42" s="39">
        <f>0.0225+0.02</f>
        <v>4.2499999999999996E-2</v>
      </c>
      <c r="BG42" s="39">
        <f>0.0225</f>
        <v>2.2499999999999999E-2</v>
      </c>
      <c r="BH42" s="27">
        <f>0</f>
        <v>0</v>
      </c>
      <c r="BI42" s="27">
        <f>0</f>
        <v>0</v>
      </c>
      <c r="BJ42" s="44">
        <f t="shared" ref="BJ42:BJ44" si="154">SUM(BK42:BO42)</f>
        <v>0</v>
      </c>
      <c r="BK42" s="39"/>
      <c r="BL42" s="39"/>
      <c r="BM42" s="39"/>
      <c r="BN42" s="39"/>
      <c r="BO42" s="39"/>
      <c r="BP42" s="27" t="s">
        <v>330</v>
      </c>
      <c r="BQ42" s="173"/>
      <c r="BR42" s="90"/>
      <c r="BS42" s="83"/>
      <c r="BT42" s="83"/>
      <c r="BU42" s="83"/>
      <c r="BV42" s="83"/>
      <c r="BW42" s="83"/>
      <c r="BX42" s="83"/>
      <c r="BY42" s="83"/>
      <c r="BZ42" s="83"/>
      <c r="CA42" s="83"/>
      <c r="CB42" s="83"/>
      <c r="CC42" s="83"/>
      <c r="CD42" s="83"/>
      <c r="CE42" s="83"/>
      <c r="CF42" s="83"/>
      <c r="CG42" s="83"/>
      <c r="CH42" s="83"/>
      <c r="CI42" s="83"/>
      <c r="CJ42" s="83"/>
      <c r="CK42" s="83"/>
      <c r="CL42" s="83"/>
      <c r="CM42" s="83"/>
      <c r="CN42" s="83"/>
      <c r="CO42" s="83"/>
      <c r="CP42" s="83"/>
      <c r="CQ42" s="83"/>
      <c r="CR42" s="83"/>
      <c r="CS42" s="83"/>
      <c r="CT42" s="83"/>
      <c r="CU42" s="83"/>
      <c r="CV42" s="83"/>
      <c r="CW42" s="83"/>
      <c r="CX42" s="83"/>
      <c r="CY42" s="83"/>
      <c r="CZ42" s="83"/>
    </row>
    <row r="43" spans="1:104" ht="21">
      <c r="A43" s="173"/>
      <c r="B43" s="173"/>
      <c r="C43" s="62"/>
      <c r="D43" s="287" t="s">
        <v>322</v>
      </c>
      <c r="E43" s="173"/>
      <c r="F43" s="173"/>
      <c r="G43" s="44">
        <f t="shared" ref="G43" si="155">H43+M43+N43+O43+P43</f>
        <v>1</v>
      </c>
      <c r="H43" s="44">
        <f t="shared" ref="H43" si="156">SUM(I43:L43)</f>
        <v>0</v>
      </c>
      <c r="I43" s="28"/>
      <c r="J43" s="28"/>
      <c r="K43" s="28"/>
      <c r="L43" s="28"/>
      <c r="M43" s="28"/>
      <c r="N43" s="28"/>
      <c r="O43" s="28"/>
      <c r="P43" s="28">
        <v>1</v>
      </c>
      <c r="Q43" s="39"/>
      <c r="R43" s="39"/>
      <c r="S43" s="39"/>
      <c r="T43" s="39"/>
      <c r="U43" s="39"/>
      <c r="V43" s="39"/>
      <c r="W43" s="27" t="s">
        <v>306</v>
      </c>
      <c r="X43" s="270">
        <f t="shared" si="153"/>
        <v>1.5077999999999999E-2</v>
      </c>
      <c r="Y43" s="39">
        <f t="shared" si="146"/>
        <v>0</v>
      </c>
      <c r="Z43" s="39">
        <f t="shared" si="146"/>
        <v>0</v>
      </c>
      <c r="AA43" s="39">
        <f t="shared" si="146"/>
        <v>0</v>
      </c>
      <c r="AB43" s="39"/>
      <c r="AC43" s="39"/>
      <c r="AD43" s="39"/>
      <c r="AE43" s="39"/>
      <c r="AF43" s="27"/>
      <c r="AG43" s="80"/>
      <c r="AH43" s="39"/>
      <c r="AI43" s="45">
        <f t="shared" ref="AI43:AI44" si="157">AH43*0.12*1000</f>
        <v>0</v>
      </c>
      <c r="AJ43" s="39">
        <f t="shared" ref="AJ43" si="158">AH43*$BU$7</f>
        <v>0</v>
      </c>
      <c r="AK43" s="39"/>
      <c r="AL43" s="39"/>
      <c r="AM43" s="39"/>
      <c r="AN43" s="39"/>
      <c r="AO43" s="27"/>
      <c r="AP43" s="80"/>
      <c r="AQ43" s="39"/>
      <c r="AR43" s="27"/>
      <c r="AS43" s="80"/>
      <c r="AT43" s="39"/>
      <c r="AU43" s="39"/>
      <c r="AV43" s="39"/>
      <c r="AW43" s="39">
        <f>0.015078</f>
        <v>1.5077999999999999E-2</v>
      </c>
      <c r="AX43" s="39">
        <f>AW43*0.12*1000</f>
        <v>1.8093599999999999</v>
      </c>
      <c r="AY43" s="80">
        <f>AW43*$CO$31</f>
        <v>6.9986317711799986E-2</v>
      </c>
      <c r="AZ43" s="39"/>
      <c r="BA43" s="39"/>
      <c r="BB43" s="39"/>
      <c r="BC43" s="39"/>
      <c r="BD43" s="44">
        <f t="shared" si="145"/>
        <v>0.36</v>
      </c>
      <c r="BE43" s="27">
        <f>0</f>
        <v>0</v>
      </c>
      <c r="BF43" s="27">
        <f>0</f>
        <v>0</v>
      </c>
      <c r="BG43" s="27">
        <f>0</f>
        <v>0</v>
      </c>
      <c r="BH43" s="27">
        <f>0</f>
        <v>0</v>
      </c>
      <c r="BI43" s="39">
        <f>0.36</f>
        <v>0.36</v>
      </c>
      <c r="BJ43" s="44"/>
      <c r="BK43" s="39"/>
      <c r="BL43" s="39"/>
      <c r="BM43" s="39"/>
      <c r="BN43" s="39"/>
      <c r="BO43" s="39"/>
      <c r="BP43" s="27" t="s">
        <v>329</v>
      </c>
      <c r="BQ43" s="173"/>
      <c r="BR43" s="90"/>
      <c r="BS43" s="83"/>
      <c r="BT43" s="83"/>
      <c r="BU43" s="83"/>
      <c r="BV43" s="83"/>
      <c r="BW43" s="83"/>
      <c r="BX43" s="83"/>
      <c r="BY43" s="83"/>
      <c r="BZ43" s="83"/>
      <c r="CA43" s="83"/>
      <c r="CB43" s="83"/>
      <c r="CC43" s="83"/>
      <c r="CD43" s="83"/>
      <c r="CE43" s="83"/>
      <c r="CF43" s="83"/>
      <c r="CG43" s="83"/>
      <c r="CH43" s="83"/>
      <c r="CI43" s="83"/>
      <c r="CJ43" s="83"/>
      <c r="CK43" s="83"/>
      <c r="CL43" s="83"/>
      <c r="CM43" s="83"/>
      <c r="CN43" s="83"/>
      <c r="CO43" s="83"/>
      <c r="CP43" s="83"/>
      <c r="CQ43" s="83"/>
      <c r="CR43" s="83"/>
      <c r="CS43" s="83"/>
      <c r="CT43" s="83"/>
      <c r="CU43" s="83"/>
      <c r="CV43" s="83"/>
      <c r="CW43" s="83"/>
      <c r="CX43" s="83"/>
      <c r="CY43" s="83"/>
      <c r="CZ43" s="83"/>
    </row>
    <row r="44" spans="1:104" ht="42">
      <c r="A44" s="173"/>
      <c r="B44" s="173"/>
      <c r="C44" s="62"/>
      <c r="D44" s="287" t="s">
        <v>320</v>
      </c>
      <c r="E44" s="173"/>
      <c r="F44" s="173"/>
      <c r="G44" s="44">
        <f t="shared" si="151"/>
        <v>18</v>
      </c>
      <c r="H44" s="44">
        <f t="shared" si="152"/>
        <v>2</v>
      </c>
      <c r="I44" s="28"/>
      <c r="J44" s="28">
        <v>1</v>
      </c>
      <c r="K44" s="28">
        <v>1</v>
      </c>
      <c r="L44" s="28"/>
      <c r="M44" s="28">
        <v>1</v>
      </c>
      <c r="N44" s="28">
        <f>2+2</f>
        <v>4</v>
      </c>
      <c r="O44" s="28">
        <f>4+1+2</f>
        <v>7</v>
      </c>
      <c r="P44" s="28">
        <f>3+1</f>
        <v>4</v>
      </c>
      <c r="Q44" s="39"/>
      <c r="R44" s="39"/>
      <c r="S44" s="39"/>
      <c r="T44" s="39"/>
      <c r="U44" s="39"/>
      <c r="V44" s="39"/>
      <c r="W44" s="27" t="s">
        <v>306</v>
      </c>
      <c r="X44" s="44">
        <f t="shared" si="153"/>
        <v>0.54226275731999996</v>
      </c>
      <c r="Y44" s="39">
        <f t="shared" si="146"/>
        <v>3.3822799999999997E-3</v>
      </c>
      <c r="Z44" s="39">
        <f t="shared" si="146"/>
        <v>0.4058736</v>
      </c>
      <c r="AA44" s="39">
        <f t="shared" si="146"/>
        <v>1.29378123668E-2</v>
      </c>
      <c r="AB44" s="39"/>
      <c r="AC44" s="39"/>
      <c r="AD44" s="39"/>
      <c r="AE44" s="39">
        <f>0.00112746</f>
        <v>1.1274600000000001E-3</v>
      </c>
      <c r="AF44" s="27">
        <f t="shared" ref="AF44" si="159">AE44*0.12*1000</f>
        <v>0.1352952</v>
      </c>
      <c r="AG44" s="80">
        <f>AE44*$CI$31</f>
        <v>4.1736201534000004E-3</v>
      </c>
      <c r="AH44" s="39">
        <f>0.00225482</f>
        <v>2.2548199999999998E-3</v>
      </c>
      <c r="AI44" s="45">
        <f t="shared" si="157"/>
        <v>0.2705784</v>
      </c>
      <c r="AJ44" s="39">
        <f>AH44*$CJ$31</f>
        <v>8.7641922133999996E-3</v>
      </c>
      <c r="AK44" s="39"/>
      <c r="AL44" s="39"/>
      <c r="AM44" s="39"/>
      <c r="AN44" s="39">
        <f>0.0041896</f>
        <v>4.1895999999999999E-3</v>
      </c>
      <c r="AO44" s="27">
        <f t="shared" ref="AO44" si="160">AN44*0.12*1000</f>
        <v>0.50275199999999998</v>
      </c>
      <c r="AP44" s="80">
        <f>AN44*$CL$31</f>
        <v>1.6813660823999998E-2</v>
      </c>
      <c r="AQ44" s="39">
        <f>0.02+0.0037582+0.024+0.0031</f>
        <v>5.0858199999999999E-2</v>
      </c>
      <c r="AR44" s="27">
        <f>AQ44*0.12*1000</f>
        <v>6.1029839999999993</v>
      </c>
      <c r="AS44" s="80">
        <f>AQ44*$CM$31</f>
        <v>0.21631747067900001</v>
      </c>
      <c r="AT44" s="39">
        <f>0.107+0.01382+0.0489+0.003396639+0.048+0.025+0.062</f>
        <v>0.30811663899999997</v>
      </c>
      <c r="AU44" s="39">
        <f>AT44*0.12*1000</f>
        <v>36.973996679999999</v>
      </c>
      <c r="AV44" s="80">
        <f>AT44*$CN$31</f>
        <v>1.3725128091665162</v>
      </c>
      <c r="AW44" s="39">
        <f>0.0043+0.0336+0.00081603832+0.137</f>
        <v>0.17571603831999999</v>
      </c>
      <c r="AX44" s="39">
        <f>AW44*0.12*1000</f>
        <v>21.085924598399998</v>
      </c>
      <c r="AY44" s="80">
        <f>AW44*$CO$31</f>
        <v>0.81560674392640553</v>
      </c>
      <c r="AZ44" s="39"/>
      <c r="BA44" s="39"/>
      <c r="BB44" s="39"/>
      <c r="BC44" s="39"/>
      <c r="BD44" s="44">
        <f t="shared" si="145"/>
        <v>11.746865</v>
      </c>
      <c r="BE44" s="39">
        <f>0.0507357</f>
        <v>5.0735700000000002E-2</v>
      </c>
      <c r="BF44" s="39">
        <f>0.05355435</f>
        <v>5.3554350000000001E-2</v>
      </c>
      <c r="BG44" s="39">
        <f>0.3+0.056373+0.9+1</f>
        <v>2.256373</v>
      </c>
      <c r="BH44" s="39">
        <f>1.5+0.33+1.125+0.05919165+0.9+0.59+0.34</f>
        <v>4.84419165</v>
      </c>
      <c r="BI44" s="39">
        <f>0.98+1.9+0.0620103+1.6</f>
        <v>4.5420102999999994</v>
      </c>
      <c r="BJ44" s="44">
        <f t="shared" si="154"/>
        <v>0</v>
      </c>
      <c r="BK44" s="39"/>
      <c r="BL44" s="39"/>
      <c r="BM44" s="39"/>
      <c r="BN44" s="39"/>
      <c r="BO44" s="39"/>
      <c r="BP44" s="27" t="s">
        <v>329</v>
      </c>
      <c r="BQ44" s="173"/>
      <c r="BR44" s="91"/>
      <c r="BS44" s="83"/>
      <c r="BT44" s="83"/>
      <c r="BU44" s="83"/>
      <c r="BV44" s="83"/>
      <c r="BW44" s="83"/>
      <c r="BX44" s="83"/>
      <c r="BY44" s="83"/>
      <c r="BZ44" s="83"/>
      <c r="CA44" s="83"/>
      <c r="CB44" s="83"/>
      <c r="CC44" s="83"/>
      <c r="CD44" s="83"/>
      <c r="CE44" s="83"/>
      <c r="CF44" s="83"/>
      <c r="CG44" s="83"/>
      <c r="CH44" s="83"/>
      <c r="CI44" s="83"/>
      <c r="CJ44" s="83"/>
      <c r="CK44" s="83"/>
      <c r="CL44" s="83"/>
      <c r="CM44" s="83"/>
      <c r="CN44" s="83"/>
      <c r="CO44" s="83"/>
      <c r="CP44" s="83"/>
      <c r="CQ44" s="83"/>
      <c r="CR44" s="83"/>
      <c r="CS44" s="83"/>
      <c r="CT44" s="83"/>
      <c r="CU44" s="83"/>
      <c r="CV44" s="83"/>
      <c r="CW44" s="83"/>
      <c r="CX44" s="83"/>
      <c r="CY44" s="83"/>
      <c r="CZ44" s="83"/>
    </row>
    <row r="45" spans="1:104" ht="21">
      <c r="A45" s="173"/>
      <c r="B45" s="173"/>
      <c r="C45" s="62"/>
      <c r="D45" s="288" t="s">
        <v>98</v>
      </c>
      <c r="E45" s="173"/>
      <c r="F45" s="173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27"/>
      <c r="X45" s="126">
        <f t="shared" ref="X45:AD45" si="161">SUM(X36:X44)</f>
        <v>0.75216160731999993</v>
      </c>
      <c r="Y45" s="126">
        <f t="shared" si="161"/>
        <v>9.087713E-2</v>
      </c>
      <c r="Z45" s="44">
        <f t="shared" si="161"/>
        <v>10.9052556</v>
      </c>
      <c r="AA45" s="44">
        <f t="shared" si="161"/>
        <v>0.3488994741243</v>
      </c>
      <c r="AB45" s="44">
        <f t="shared" si="161"/>
        <v>1.9244999999999999E-4</v>
      </c>
      <c r="AC45" s="44">
        <f t="shared" si="161"/>
        <v>2.3094E-2</v>
      </c>
      <c r="AD45" s="129">
        <f t="shared" si="161"/>
        <v>7.1240948549999991E-4</v>
      </c>
      <c r="AE45" s="44">
        <f t="shared" ref="AE45:AY45" si="162">SUM(AE36:AE44)</f>
        <v>2.319266E-2</v>
      </c>
      <c r="AF45" s="44">
        <f t="shared" si="162"/>
        <v>2.7831191999999998</v>
      </c>
      <c r="AG45" s="44">
        <f t="shared" si="162"/>
        <v>8.58543568614E-2</v>
      </c>
      <c r="AH45" s="44">
        <f t="shared" si="162"/>
        <v>5.4397619999999994E-2</v>
      </c>
      <c r="AI45" s="44">
        <f t="shared" si="162"/>
        <v>6.5277143999999989</v>
      </c>
      <c r="AJ45" s="44">
        <f t="shared" si="162"/>
        <v>0.21143647724939998</v>
      </c>
      <c r="AK45" s="44">
        <f t="shared" si="162"/>
        <v>1.3094400000000001E-2</v>
      </c>
      <c r="AL45" s="44">
        <f t="shared" si="162"/>
        <v>1.5713280000000001</v>
      </c>
      <c r="AM45" s="44">
        <f t="shared" si="162"/>
        <v>5.0896230528000005E-2</v>
      </c>
      <c r="AN45" s="44">
        <f t="shared" si="162"/>
        <v>5.88896E-2</v>
      </c>
      <c r="AO45" s="44">
        <f t="shared" si="162"/>
        <v>7.0667519999999993</v>
      </c>
      <c r="AP45" s="44">
        <f t="shared" si="162"/>
        <v>0.236335153824</v>
      </c>
      <c r="AQ45" s="44">
        <f t="shared" si="162"/>
        <v>9.1858200000000001E-2</v>
      </c>
      <c r="AR45" s="44">
        <f t="shared" si="162"/>
        <v>11.022983999999997</v>
      </c>
      <c r="AS45" s="44">
        <f t="shared" si="162"/>
        <v>0.39070461567900006</v>
      </c>
      <c r="AT45" s="44">
        <f t="shared" si="162"/>
        <v>0.319742639</v>
      </c>
      <c r="AU45" s="44">
        <f t="shared" si="162"/>
        <v>38.369116679999998</v>
      </c>
      <c r="AV45" s="44">
        <f t="shared" si="162"/>
        <v>1.4243010993775163</v>
      </c>
      <c r="AW45" s="44">
        <f t="shared" si="162"/>
        <v>0.19079403832</v>
      </c>
      <c r="AX45" s="44">
        <f t="shared" si="162"/>
        <v>22.895284598399996</v>
      </c>
      <c r="AY45" s="44">
        <f t="shared" si="162"/>
        <v>0.8855930616382055</v>
      </c>
      <c r="AZ45" s="27"/>
      <c r="BA45" s="27"/>
      <c r="BB45" s="27"/>
      <c r="BC45" s="27"/>
      <c r="BD45" s="126">
        <f t="shared" si="145"/>
        <v>13.332315000000001</v>
      </c>
      <c r="BE45" s="126">
        <f t="shared" ref="BE45:BO45" si="163">SUM(BE36:BE44)</f>
        <v>0.51118570000000008</v>
      </c>
      <c r="BF45" s="44">
        <f t="shared" si="163"/>
        <v>0.54605435000000002</v>
      </c>
      <c r="BG45" s="44">
        <f t="shared" si="163"/>
        <v>2.2788729999999999</v>
      </c>
      <c r="BH45" s="44">
        <f t="shared" si="163"/>
        <v>5.09419165</v>
      </c>
      <c r="BI45" s="44">
        <f t="shared" si="163"/>
        <v>4.9020102999999997</v>
      </c>
      <c r="BJ45" s="44">
        <f t="shared" si="163"/>
        <v>0</v>
      </c>
      <c r="BK45" s="44">
        <f t="shared" si="163"/>
        <v>0</v>
      </c>
      <c r="BL45" s="44">
        <f t="shared" si="163"/>
        <v>0</v>
      </c>
      <c r="BM45" s="44">
        <f t="shared" si="163"/>
        <v>0</v>
      </c>
      <c r="BN45" s="44">
        <f t="shared" si="163"/>
        <v>0</v>
      </c>
      <c r="BO45" s="44">
        <f t="shared" si="163"/>
        <v>0</v>
      </c>
      <c r="BP45" s="173"/>
      <c r="BQ45" s="173"/>
      <c r="BR45" s="173"/>
      <c r="BS45" s="83"/>
      <c r="BT45" s="83"/>
      <c r="BU45" s="83"/>
      <c r="BV45" s="83"/>
      <c r="BW45" s="83"/>
      <c r="BX45" s="83"/>
      <c r="BY45" s="83"/>
      <c r="BZ45" s="83"/>
      <c r="CA45" s="83"/>
      <c r="CB45" s="83"/>
      <c r="CC45" s="83"/>
      <c r="CD45" s="83"/>
      <c r="CE45" s="83"/>
      <c r="CF45" s="83"/>
      <c r="CG45" s="83"/>
      <c r="CH45" s="83"/>
      <c r="CI45" s="83"/>
      <c r="CJ45" s="83"/>
      <c r="CK45" s="83"/>
      <c r="CL45" s="83"/>
      <c r="CM45" s="83"/>
      <c r="CN45" s="83"/>
      <c r="CO45" s="83"/>
      <c r="CP45" s="83"/>
      <c r="CQ45" s="83"/>
      <c r="CR45" s="83"/>
      <c r="CS45" s="83"/>
      <c r="CT45" s="83"/>
      <c r="CU45" s="83"/>
      <c r="CV45" s="83"/>
      <c r="CW45" s="83"/>
      <c r="CX45" s="83"/>
      <c r="CY45" s="83"/>
      <c r="CZ45" s="83"/>
    </row>
    <row r="46" spans="1:104" ht="42">
      <c r="A46" s="173"/>
      <c r="B46" s="173"/>
      <c r="C46" s="60" t="s">
        <v>119</v>
      </c>
      <c r="D46" s="285" t="s">
        <v>263</v>
      </c>
      <c r="E46" s="173"/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3"/>
      <c r="AA46" s="173"/>
      <c r="AB46" s="173"/>
      <c r="AC46" s="173"/>
      <c r="AD46" s="173"/>
      <c r="AE46" s="173"/>
      <c r="AF46" s="173"/>
      <c r="AG46" s="173"/>
      <c r="AH46" s="173"/>
      <c r="AI46" s="173"/>
      <c r="AJ46" s="173"/>
      <c r="AK46" s="173"/>
      <c r="AL46" s="173"/>
      <c r="AM46" s="173"/>
      <c r="AN46" s="173"/>
      <c r="AO46" s="173"/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3"/>
      <c r="BC46" s="173"/>
      <c r="BD46" s="173"/>
      <c r="BE46" s="142"/>
      <c r="BF46" s="173"/>
      <c r="BG46" s="173"/>
      <c r="BH46" s="173"/>
      <c r="BI46" s="173"/>
      <c r="BJ46" s="173"/>
      <c r="BK46" s="173"/>
      <c r="BL46" s="173"/>
      <c r="BM46" s="173"/>
      <c r="BN46" s="173"/>
      <c r="BO46" s="173"/>
      <c r="BP46" s="173"/>
      <c r="BQ46" s="173"/>
      <c r="BR46" s="173"/>
      <c r="BS46" s="83"/>
      <c r="BT46" s="150"/>
      <c r="BU46" s="83"/>
      <c r="BV46" s="83"/>
      <c r="BW46" s="83"/>
      <c r="BX46" s="83"/>
      <c r="BY46" s="83"/>
      <c r="BZ46" s="83"/>
      <c r="CA46" s="83"/>
      <c r="CB46" s="83"/>
      <c r="CC46" s="83"/>
      <c r="CD46" s="83"/>
      <c r="CE46" s="83"/>
      <c r="CF46" s="83"/>
      <c r="CG46" s="83"/>
      <c r="CH46" s="83"/>
      <c r="CI46" s="83"/>
      <c r="CJ46" s="83"/>
      <c r="CK46" s="83"/>
      <c r="CL46" s="83"/>
      <c r="CM46" s="83"/>
      <c r="CN46" s="83"/>
      <c r="CO46" s="83"/>
      <c r="CP46" s="83"/>
      <c r="CQ46" s="83"/>
      <c r="CR46" s="83"/>
      <c r="CS46" s="83"/>
      <c r="CT46" s="83"/>
      <c r="CU46" s="83"/>
      <c r="CV46" s="83"/>
      <c r="CW46" s="83"/>
      <c r="CX46" s="83"/>
      <c r="CY46" s="83"/>
      <c r="CZ46" s="83"/>
    </row>
    <row r="47" spans="1:104" ht="52.5" customHeight="1">
      <c r="A47" s="173"/>
      <c r="B47" s="173"/>
      <c r="C47" s="62"/>
      <c r="D47" s="288" t="s">
        <v>324</v>
      </c>
      <c r="E47" s="173"/>
      <c r="F47" s="173"/>
      <c r="G47" s="44">
        <f>H47+M47+N47+O47+P47</f>
        <v>5</v>
      </c>
      <c r="H47" s="44">
        <f>SUM(I47:L47)</f>
        <v>5</v>
      </c>
      <c r="I47" s="27"/>
      <c r="J47" s="27">
        <v>2</v>
      </c>
      <c r="K47" s="27">
        <v>3</v>
      </c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44">
        <f>Y47+AN47+AQ47+AT47+AW47</f>
        <v>0</v>
      </c>
      <c r="Y47" s="27"/>
      <c r="Z47" s="27"/>
      <c r="AA47" s="27"/>
      <c r="AB47" s="27"/>
      <c r="AC47" s="27"/>
      <c r="AD47" s="27"/>
      <c r="AE47" s="39">
        <f>0</f>
        <v>0</v>
      </c>
      <c r="AF47" s="27">
        <f t="shared" ref="AF47" si="164">AE47*0.12*1000</f>
        <v>0</v>
      </c>
      <c r="AG47" s="80">
        <f t="shared" ref="AG47" si="165">AE47*$BT$7</f>
        <v>0</v>
      </c>
      <c r="AH47" s="39">
        <f>0</f>
        <v>0</v>
      </c>
      <c r="AI47" s="45">
        <f t="shared" ref="AI47" si="166">AH47*0.12*1000</f>
        <v>0</v>
      </c>
      <c r="AJ47" s="39">
        <f t="shared" ref="AJ47" si="167">AH47*$BU$7</f>
        <v>0</v>
      </c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44">
        <f>SUM(BE47:BI47)</f>
        <v>0.08</v>
      </c>
      <c r="BE47" s="127">
        <f>0.08</f>
        <v>0.08</v>
      </c>
      <c r="BF47" s="27">
        <f>0</f>
        <v>0</v>
      </c>
      <c r="BG47" s="27">
        <f>0</f>
        <v>0</v>
      </c>
      <c r="BH47" s="27">
        <f>0</f>
        <v>0</v>
      </c>
      <c r="BI47" s="27">
        <f>0</f>
        <v>0</v>
      </c>
      <c r="BJ47" s="44">
        <f>SUM(BK47:BO47)</f>
        <v>0</v>
      </c>
      <c r="BK47" s="27"/>
      <c r="BL47" s="27"/>
      <c r="BM47" s="27"/>
      <c r="BN47" s="27"/>
      <c r="BO47" s="27"/>
      <c r="BP47" s="173"/>
      <c r="BQ47" s="173"/>
      <c r="BR47" s="173"/>
      <c r="BS47" s="83"/>
      <c r="BT47" s="83"/>
      <c r="BU47" s="83"/>
      <c r="BV47" s="83"/>
      <c r="BW47" s="83"/>
      <c r="BX47" s="83"/>
      <c r="BY47" s="83"/>
      <c r="BZ47" s="83"/>
      <c r="CA47" s="83"/>
      <c r="CB47" s="83"/>
      <c r="CC47" s="83"/>
      <c r="CD47" s="83"/>
      <c r="CE47" s="83"/>
      <c r="CF47" s="83"/>
      <c r="CG47" s="83"/>
      <c r="CH47" s="83"/>
      <c r="CI47" s="83"/>
      <c r="CJ47" s="83"/>
      <c r="CK47" s="83"/>
      <c r="CL47" s="83"/>
      <c r="CM47" s="83"/>
      <c r="CN47" s="83"/>
      <c r="CO47" s="83"/>
      <c r="CP47" s="83"/>
      <c r="CQ47" s="83"/>
      <c r="CR47" s="83"/>
      <c r="CS47" s="83"/>
      <c r="CT47" s="83"/>
      <c r="CU47" s="83"/>
      <c r="CV47" s="83"/>
      <c r="CW47" s="83"/>
      <c r="CX47" s="83"/>
      <c r="CY47" s="83"/>
      <c r="CZ47" s="83"/>
    </row>
    <row r="48" spans="1:104" hidden="1">
      <c r="A48" s="173"/>
      <c r="B48" s="173"/>
      <c r="C48" s="62"/>
      <c r="D48" s="64"/>
      <c r="E48" s="173"/>
      <c r="F48" s="173"/>
      <c r="G48" s="44">
        <f t="shared" ref="G48:G49" si="168">H48+M48+N48+O48+P48</f>
        <v>0</v>
      </c>
      <c r="H48" s="44">
        <f t="shared" ref="H48:H49" si="169">SUM(I48:L48)</f>
        <v>0</v>
      </c>
      <c r="I48" s="28"/>
      <c r="J48" s="28"/>
      <c r="K48" s="28"/>
      <c r="L48" s="28"/>
      <c r="M48" s="28"/>
      <c r="N48" s="28"/>
      <c r="O48" s="28"/>
      <c r="P48" s="28"/>
      <c r="Q48" s="39"/>
      <c r="R48" s="39"/>
      <c r="S48" s="39"/>
      <c r="T48" s="39"/>
      <c r="U48" s="39"/>
      <c r="V48" s="39"/>
      <c r="W48" s="39"/>
      <c r="X48" s="44">
        <f t="shared" ref="X48:X49" si="170">Y48+AN48+AQ48+AT48+AW48</f>
        <v>0</v>
      </c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44">
        <f t="shared" ref="BD48:BD49" si="171">SUM(BE48:BI48)</f>
        <v>0</v>
      </c>
      <c r="BE48" s="125"/>
      <c r="BF48" s="39"/>
      <c r="BG48" s="39"/>
      <c r="BH48" s="39"/>
      <c r="BI48" s="39"/>
      <c r="BJ48" s="44">
        <f t="shared" ref="BJ48:BJ49" si="172">SUM(BK48:BO48)</f>
        <v>0</v>
      </c>
      <c r="BK48" s="39"/>
      <c r="BL48" s="39"/>
      <c r="BM48" s="39"/>
      <c r="BN48" s="39"/>
      <c r="BO48" s="39"/>
      <c r="BP48" s="173"/>
      <c r="BQ48" s="173"/>
      <c r="BR48" s="173"/>
      <c r="BS48" s="83"/>
      <c r="BT48" s="83"/>
      <c r="BU48" s="83"/>
      <c r="BV48" s="83"/>
      <c r="BW48" s="83"/>
      <c r="BX48" s="83"/>
      <c r="BY48" s="83"/>
      <c r="BZ48" s="83"/>
      <c r="CA48" s="83"/>
      <c r="CB48" s="83"/>
      <c r="CC48" s="83"/>
      <c r="CD48" s="83"/>
      <c r="CE48" s="83"/>
      <c r="CF48" s="83"/>
      <c r="CG48" s="83"/>
      <c r="CH48" s="83"/>
      <c r="CI48" s="83"/>
      <c r="CJ48" s="83"/>
      <c r="CK48" s="83"/>
      <c r="CL48" s="83"/>
      <c r="CM48" s="83"/>
      <c r="CN48" s="83"/>
      <c r="CO48" s="83"/>
      <c r="CP48" s="83"/>
      <c r="CQ48" s="83"/>
      <c r="CR48" s="83"/>
      <c r="CS48" s="83"/>
      <c r="CT48" s="83"/>
      <c r="CU48" s="83"/>
      <c r="CV48" s="83"/>
      <c r="CW48" s="83"/>
      <c r="CX48" s="83"/>
      <c r="CY48" s="83"/>
      <c r="CZ48" s="83"/>
    </row>
    <row r="49" spans="1:104" hidden="1">
      <c r="A49" s="173"/>
      <c r="B49" s="173"/>
      <c r="C49" s="62" t="s">
        <v>95</v>
      </c>
      <c r="D49" s="64"/>
      <c r="E49" s="173"/>
      <c r="F49" s="173"/>
      <c r="G49" s="44">
        <f t="shared" si="168"/>
        <v>0</v>
      </c>
      <c r="H49" s="44">
        <f t="shared" si="169"/>
        <v>0</v>
      </c>
      <c r="I49" s="28"/>
      <c r="J49" s="28"/>
      <c r="K49" s="28"/>
      <c r="L49" s="28"/>
      <c r="M49" s="28"/>
      <c r="N49" s="28"/>
      <c r="O49" s="28"/>
      <c r="P49" s="28"/>
      <c r="Q49" s="39"/>
      <c r="R49" s="39"/>
      <c r="S49" s="39"/>
      <c r="T49" s="39"/>
      <c r="U49" s="39"/>
      <c r="V49" s="39"/>
      <c r="W49" s="39"/>
      <c r="X49" s="44">
        <f t="shared" si="170"/>
        <v>0</v>
      </c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44">
        <f t="shared" si="171"/>
        <v>0</v>
      </c>
      <c r="BE49" s="125"/>
      <c r="BF49" s="39"/>
      <c r="BG49" s="39"/>
      <c r="BH49" s="39"/>
      <c r="BI49" s="39"/>
      <c r="BJ49" s="44">
        <f t="shared" si="172"/>
        <v>0</v>
      </c>
      <c r="BK49" s="39"/>
      <c r="BL49" s="39"/>
      <c r="BM49" s="39"/>
      <c r="BN49" s="39"/>
      <c r="BO49" s="39"/>
      <c r="BP49" s="173"/>
      <c r="BQ49" s="173"/>
      <c r="BR49" s="173"/>
      <c r="BS49" s="83"/>
      <c r="BT49" s="83"/>
      <c r="BU49" s="83"/>
      <c r="BV49" s="83"/>
      <c r="BW49" s="83"/>
      <c r="BX49" s="83"/>
      <c r="BY49" s="83"/>
      <c r="BZ49" s="83"/>
      <c r="CA49" s="83"/>
      <c r="CB49" s="83"/>
      <c r="CC49" s="83"/>
      <c r="CD49" s="83"/>
      <c r="CE49" s="83"/>
      <c r="CF49" s="83"/>
      <c r="CG49" s="83"/>
      <c r="CH49" s="83"/>
      <c r="CI49" s="83"/>
      <c r="CJ49" s="83"/>
      <c r="CK49" s="83"/>
      <c r="CL49" s="83"/>
      <c r="CM49" s="83"/>
      <c r="CN49" s="83"/>
      <c r="CO49" s="83"/>
      <c r="CP49" s="83"/>
      <c r="CQ49" s="83"/>
      <c r="CR49" s="83"/>
      <c r="CS49" s="83"/>
      <c r="CT49" s="83"/>
      <c r="CU49" s="83"/>
      <c r="CV49" s="83"/>
      <c r="CW49" s="83"/>
      <c r="CX49" s="83"/>
      <c r="CY49" s="83"/>
      <c r="CZ49" s="83"/>
    </row>
    <row r="50" spans="1:104">
      <c r="A50" s="173"/>
      <c r="B50" s="173"/>
      <c r="C50" s="62"/>
      <c r="D50" s="64" t="s">
        <v>98</v>
      </c>
      <c r="E50" s="173"/>
      <c r="F50" s="173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27"/>
      <c r="X50" s="56"/>
      <c r="Y50" s="56"/>
      <c r="Z50" s="44">
        <f t="shared" ref="Z50:AY50" si="173">SUM(Z46:Z49)</f>
        <v>0</v>
      </c>
      <c r="AA50" s="44">
        <f t="shared" si="173"/>
        <v>0</v>
      </c>
      <c r="AB50" s="44">
        <f t="shared" si="173"/>
        <v>0</v>
      </c>
      <c r="AC50" s="44">
        <f t="shared" si="173"/>
        <v>0</v>
      </c>
      <c r="AD50" s="44">
        <f t="shared" si="173"/>
        <v>0</v>
      </c>
      <c r="AE50" s="44">
        <f t="shared" si="173"/>
        <v>0</v>
      </c>
      <c r="AF50" s="44">
        <f t="shared" si="173"/>
        <v>0</v>
      </c>
      <c r="AG50" s="44">
        <f t="shared" si="173"/>
        <v>0</v>
      </c>
      <c r="AH50" s="44">
        <f t="shared" si="173"/>
        <v>0</v>
      </c>
      <c r="AI50" s="44">
        <f t="shared" si="173"/>
        <v>0</v>
      </c>
      <c r="AJ50" s="44">
        <f t="shared" si="173"/>
        <v>0</v>
      </c>
      <c r="AK50" s="44">
        <f t="shared" si="173"/>
        <v>0</v>
      </c>
      <c r="AL50" s="44">
        <f t="shared" si="173"/>
        <v>0</v>
      </c>
      <c r="AM50" s="44">
        <f t="shared" si="173"/>
        <v>0</v>
      </c>
      <c r="AN50" s="44">
        <f t="shared" si="173"/>
        <v>0</v>
      </c>
      <c r="AO50" s="44">
        <f t="shared" si="173"/>
        <v>0</v>
      </c>
      <c r="AP50" s="44">
        <f t="shared" si="173"/>
        <v>0</v>
      </c>
      <c r="AQ50" s="44">
        <f t="shared" si="173"/>
        <v>0</v>
      </c>
      <c r="AR50" s="44">
        <f t="shared" si="173"/>
        <v>0</v>
      </c>
      <c r="AS50" s="44">
        <f t="shared" si="173"/>
        <v>0</v>
      </c>
      <c r="AT50" s="44">
        <f t="shared" si="173"/>
        <v>0</v>
      </c>
      <c r="AU50" s="44">
        <f t="shared" si="173"/>
        <v>0</v>
      </c>
      <c r="AV50" s="44">
        <f t="shared" si="173"/>
        <v>0</v>
      </c>
      <c r="AW50" s="44">
        <f t="shared" si="173"/>
        <v>0</v>
      </c>
      <c r="AX50" s="44">
        <f t="shared" si="173"/>
        <v>0</v>
      </c>
      <c r="AY50" s="44">
        <f t="shared" si="173"/>
        <v>0</v>
      </c>
      <c r="AZ50" s="27"/>
      <c r="BA50" s="27"/>
      <c r="BB50" s="27"/>
      <c r="BC50" s="27"/>
      <c r="BD50" s="128">
        <f t="shared" ref="BD50:BO50" si="174">SUM(BD46:BD49)</f>
        <v>0.08</v>
      </c>
      <c r="BE50" s="126">
        <f t="shared" si="174"/>
        <v>0.08</v>
      </c>
      <c r="BF50" s="44">
        <f t="shared" si="174"/>
        <v>0</v>
      </c>
      <c r="BG50" s="44">
        <f t="shared" si="174"/>
        <v>0</v>
      </c>
      <c r="BH50" s="44">
        <f t="shared" si="174"/>
        <v>0</v>
      </c>
      <c r="BI50" s="44">
        <f t="shared" si="174"/>
        <v>0</v>
      </c>
      <c r="BJ50" s="44">
        <f t="shared" si="174"/>
        <v>0</v>
      </c>
      <c r="BK50" s="44">
        <f t="shared" si="174"/>
        <v>0</v>
      </c>
      <c r="BL50" s="44">
        <f t="shared" si="174"/>
        <v>0</v>
      </c>
      <c r="BM50" s="44">
        <f t="shared" si="174"/>
        <v>0</v>
      </c>
      <c r="BN50" s="44">
        <f t="shared" si="174"/>
        <v>0</v>
      </c>
      <c r="BO50" s="44">
        <f t="shared" si="174"/>
        <v>0</v>
      </c>
      <c r="BP50" s="173"/>
      <c r="BQ50" s="173"/>
      <c r="BR50" s="173"/>
      <c r="BS50" s="83"/>
      <c r="BT50" s="83"/>
      <c r="BU50" s="83"/>
      <c r="BV50" s="83"/>
      <c r="BW50" s="83"/>
      <c r="BX50" s="83"/>
      <c r="BY50" s="83"/>
      <c r="BZ50" s="83"/>
      <c r="CA50" s="83"/>
      <c r="CB50" s="83"/>
      <c r="CC50" s="83"/>
      <c r="CD50" s="83"/>
      <c r="CE50" s="83"/>
      <c r="CF50" s="83"/>
      <c r="CG50" s="83"/>
      <c r="CH50" s="83"/>
      <c r="CI50" s="83"/>
      <c r="CJ50" s="83"/>
      <c r="CK50" s="83"/>
      <c r="CL50" s="83"/>
      <c r="CM50" s="83"/>
      <c r="CN50" s="83"/>
      <c r="CO50" s="83"/>
      <c r="CP50" s="83"/>
      <c r="CQ50" s="83"/>
      <c r="CR50" s="83"/>
      <c r="CS50" s="83"/>
      <c r="CT50" s="83"/>
      <c r="CU50" s="83"/>
      <c r="CV50" s="83"/>
      <c r="CW50" s="83"/>
      <c r="CX50" s="83"/>
      <c r="CY50" s="83"/>
      <c r="CZ50" s="83"/>
    </row>
    <row r="51" spans="1:104" ht="37.5" hidden="1">
      <c r="A51" s="173"/>
      <c r="B51" s="173"/>
      <c r="C51" s="60" t="s">
        <v>120</v>
      </c>
      <c r="D51" s="61" t="s">
        <v>264</v>
      </c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3"/>
      <c r="Z51" s="173"/>
      <c r="AA51" s="173"/>
      <c r="AB51" s="173"/>
      <c r="AC51" s="173"/>
      <c r="AD51" s="173"/>
      <c r="AE51" s="173"/>
      <c r="AF51" s="173"/>
      <c r="AG51" s="173"/>
      <c r="AH51" s="173"/>
      <c r="AI51" s="173"/>
      <c r="AJ51" s="173"/>
      <c r="AK51" s="173"/>
      <c r="AL51" s="173"/>
      <c r="AM51" s="173"/>
      <c r="AN51" s="173"/>
      <c r="AO51" s="173"/>
      <c r="AP51" s="173"/>
      <c r="AQ51" s="173"/>
      <c r="AR51" s="173"/>
      <c r="AS51" s="173"/>
      <c r="AT51" s="173"/>
      <c r="AU51" s="173"/>
      <c r="AV51" s="173"/>
      <c r="AW51" s="173"/>
      <c r="AX51" s="173"/>
      <c r="AY51" s="173"/>
      <c r="AZ51" s="173"/>
      <c r="BA51" s="173"/>
      <c r="BB51" s="173"/>
      <c r="BC51" s="173"/>
      <c r="BD51" s="173"/>
      <c r="BE51" s="173"/>
      <c r="BF51" s="173"/>
      <c r="BG51" s="173"/>
      <c r="BH51" s="173"/>
      <c r="BI51" s="173"/>
      <c r="BJ51" s="173"/>
      <c r="BK51" s="173"/>
      <c r="BL51" s="173"/>
      <c r="BM51" s="173"/>
      <c r="BN51" s="173"/>
      <c r="BO51" s="173"/>
      <c r="BP51" s="173"/>
      <c r="BQ51" s="173"/>
      <c r="BR51" s="173"/>
      <c r="BS51" s="83"/>
      <c r="BT51" s="83"/>
      <c r="BU51" s="83"/>
      <c r="BV51" s="83"/>
      <c r="BW51" s="83"/>
      <c r="BX51" s="83"/>
      <c r="BY51" s="83"/>
      <c r="BZ51" s="83"/>
      <c r="CA51" s="83"/>
      <c r="CB51" s="83"/>
      <c r="CC51" s="83"/>
      <c r="CD51" s="83"/>
      <c r="CE51" s="83"/>
      <c r="CF51" s="83"/>
      <c r="CG51" s="83"/>
      <c r="CH51" s="83"/>
      <c r="CI51" s="83"/>
      <c r="CJ51" s="83"/>
      <c r="CK51" s="83"/>
      <c r="CL51" s="83"/>
      <c r="CM51" s="83"/>
      <c r="CN51" s="83"/>
      <c r="CO51" s="83"/>
      <c r="CP51" s="83"/>
      <c r="CQ51" s="83"/>
      <c r="CR51" s="83"/>
      <c r="CS51" s="83"/>
      <c r="CT51" s="83"/>
      <c r="CU51" s="83"/>
      <c r="CV51" s="83"/>
      <c r="CW51" s="83"/>
      <c r="CX51" s="83"/>
      <c r="CY51" s="83"/>
      <c r="CZ51" s="83"/>
    </row>
    <row r="52" spans="1:104" hidden="1">
      <c r="A52" s="173"/>
      <c r="B52" s="173"/>
      <c r="C52" s="62"/>
      <c r="D52" s="64"/>
      <c r="E52" s="173"/>
      <c r="F52" s="173"/>
      <c r="G52" s="44">
        <f>H52+M52+N52+O52+P52</f>
        <v>0</v>
      </c>
      <c r="H52" s="44">
        <f>SUM(I52:L52)</f>
        <v>0</v>
      </c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44">
        <f>Y52+AN52+AQ52+AT52+AW52</f>
        <v>0</v>
      </c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44">
        <f>SUM(BE52:BI52)</f>
        <v>0</v>
      </c>
      <c r="BE52" s="27"/>
      <c r="BF52" s="27"/>
      <c r="BG52" s="27"/>
      <c r="BH52" s="27"/>
      <c r="BI52" s="27"/>
      <c r="BJ52" s="44">
        <f>SUM(BK52:BO52)</f>
        <v>0</v>
      </c>
      <c r="BK52" s="27"/>
      <c r="BL52" s="27"/>
      <c r="BM52" s="27"/>
      <c r="BN52" s="27"/>
      <c r="BO52" s="27"/>
      <c r="BP52" s="173"/>
      <c r="BQ52" s="173"/>
      <c r="BR52" s="173"/>
      <c r="BS52" s="83"/>
      <c r="BT52" s="83"/>
      <c r="BU52" s="83"/>
      <c r="BV52" s="83"/>
      <c r="BW52" s="83"/>
      <c r="BX52" s="83"/>
      <c r="BY52" s="83"/>
      <c r="BZ52" s="83"/>
      <c r="CA52" s="83"/>
      <c r="CB52" s="83"/>
      <c r="CC52" s="83"/>
      <c r="CD52" s="83"/>
      <c r="CE52" s="83"/>
      <c r="CF52" s="83"/>
      <c r="CG52" s="83"/>
      <c r="CH52" s="83"/>
      <c r="CI52" s="83"/>
      <c r="CJ52" s="83"/>
      <c r="CK52" s="83"/>
      <c r="CL52" s="83"/>
      <c r="CM52" s="83"/>
      <c r="CN52" s="83"/>
      <c r="CO52" s="83"/>
      <c r="CP52" s="83"/>
      <c r="CQ52" s="83"/>
      <c r="CR52" s="83"/>
      <c r="CS52" s="83"/>
      <c r="CT52" s="83"/>
      <c r="CU52" s="83"/>
      <c r="CV52" s="83"/>
      <c r="CW52" s="83"/>
      <c r="CX52" s="83"/>
      <c r="CY52" s="83"/>
      <c r="CZ52" s="83"/>
    </row>
    <row r="53" spans="1:104" hidden="1">
      <c r="A53" s="173"/>
      <c r="B53" s="173"/>
      <c r="C53" s="62"/>
      <c r="D53" s="64"/>
      <c r="E53" s="173"/>
      <c r="F53" s="173"/>
      <c r="G53" s="44">
        <f t="shared" ref="G53:G54" si="175">H53+M53+N53+O53+P53</f>
        <v>0</v>
      </c>
      <c r="H53" s="44">
        <f t="shared" ref="H53:H54" si="176">SUM(I53:L53)</f>
        <v>0</v>
      </c>
      <c r="I53" s="28"/>
      <c r="J53" s="28"/>
      <c r="K53" s="28"/>
      <c r="L53" s="28"/>
      <c r="M53" s="28"/>
      <c r="N53" s="28"/>
      <c r="O53" s="28"/>
      <c r="P53" s="28"/>
      <c r="Q53" s="39"/>
      <c r="R53" s="39"/>
      <c r="S53" s="39"/>
      <c r="T53" s="39"/>
      <c r="U53" s="39"/>
      <c r="V53" s="39"/>
      <c r="W53" s="39"/>
      <c r="X53" s="44">
        <f t="shared" ref="X53:X54" si="177">Y53+AN53+AQ53+AT53+AW53</f>
        <v>0</v>
      </c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44">
        <f t="shared" ref="BD53:BD54" si="178">SUM(BE53:BI53)</f>
        <v>0</v>
      </c>
      <c r="BE53" s="39"/>
      <c r="BF53" s="39"/>
      <c r="BG53" s="39"/>
      <c r="BH53" s="39"/>
      <c r="BI53" s="39"/>
      <c r="BJ53" s="44">
        <f t="shared" ref="BJ53:BJ54" si="179">SUM(BK53:BO53)</f>
        <v>0</v>
      </c>
      <c r="BK53" s="39"/>
      <c r="BL53" s="39"/>
      <c r="BM53" s="39"/>
      <c r="BN53" s="39"/>
      <c r="BO53" s="39"/>
      <c r="BP53" s="173"/>
      <c r="BQ53" s="173"/>
      <c r="BR53" s="173"/>
      <c r="BS53" s="83"/>
      <c r="BT53" s="83"/>
      <c r="BU53" s="83"/>
      <c r="BV53" s="83"/>
      <c r="BW53" s="83"/>
      <c r="BX53" s="83"/>
      <c r="BY53" s="83"/>
      <c r="BZ53" s="83"/>
      <c r="CA53" s="83"/>
      <c r="CB53" s="83"/>
      <c r="CC53" s="83"/>
      <c r="CD53" s="83"/>
      <c r="CE53" s="83"/>
      <c r="CF53" s="83"/>
      <c r="CG53" s="83"/>
      <c r="CH53" s="83"/>
      <c r="CI53" s="83"/>
      <c r="CJ53" s="83"/>
      <c r="CK53" s="83"/>
      <c r="CL53" s="83"/>
      <c r="CM53" s="83"/>
      <c r="CN53" s="83"/>
      <c r="CO53" s="83"/>
      <c r="CP53" s="83"/>
      <c r="CQ53" s="83"/>
      <c r="CR53" s="83"/>
      <c r="CS53" s="83"/>
      <c r="CT53" s="83"/>
      <c r="CU53" s="83"/>
      <c r="CV53" s="83"/>
      <c r="CW53" s="83"/>
      <c r="CX53" s="83"/>
      <c r="CY53" s="83"/>
      <c r="CZ53" s="83"/>
    </row>
    <row r="54" spans="1:104" hidden="1">
      <c r="A54" s="173"/>
      <c r="B54" s="173"/>
      <c r="C54" s="62" t="s">
        <v>95</v>
      </c>
      <c r="D54" s="64"/>
      <c r="E54" s="173"/>
      <c r="F54" s="173"/>
      <c r="G54" s="44">
        <f t="shared" si="175"/>
        <v>0</v>
      </c>
      <c r="H54" s="44">
        <f t="shared" si="176"/>
        <v>0</v>
      </c>
      <c r="I54" s="28"/>
      <c r="J54" s="28"/>
      <c r="K54" s="28"/>
      <c r="L54" s="28"/>
      <c r="M54" s="28"/>
      <c r="N54" s="28"/>
      <c r="O54" s="28"/>
      <c r="P54" s="28"/>
      <c r="Q54" s="39"/>
      <c r="R54" s="39"/>
      <c r="S54" s="39"/>
      <c r="T54" s="39"/>
      <c r="U54" s="39"/>
      <c r="V54" s="39"/>
      <c r="W54" s="39"/>
      <c r="X54" s="44">
        <f t="shared" si="177"/>
        <v>0</v>
      </c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44">
        <f t="shared" si="178"/>
        <v>0</v>
      </c>
      <c r="BE54" s="39"/>
      <c r="BF54" s="39"/>
      <c r="BG54" s="39"/>
      <c r="BH54" s="39"/>
      <c r="BI54" s="39"/>
      <c r="BJ54" s="44">
        <f t="shared" si="179"/>
        <v>0</v>
      </c>
      <c r="BK54" s="39"/>
      <c r="BL54" s="39"/>
      <c r="BM54" s="39"/>
      <c r="BN54" s="39"/>
      <c r="BO54" s="39"/>
      <c r="BP54" s="173"/>
      <c r="BQ54" s="173"/>
      <c r="BR54" s="173"/>
      <c r="BS54" s="83"/>
      <c r="BT54" s="83"/>
      <c r="BU54" s="83"/>
      <c r="BV54" s="83"/>
      <c r="BW54" s="83"/>
      <c r="BX54" s="83"/>
      <c r="BY54" s="83"/>
      <c r="BZ54" s="83"/>
      <c r="CA54" s="83"/>
      <c r="CB54" s="83"/>
      <c r="CC54" s="83"/>
      <c r="CD54" s="83"/>
      <c r="CE54" s="83"/>
      <c r="CF54" s="83"/>
      <c r="CG54" s="83"/>
      <c r="CH54" s="83"/>
      <c r="CI54" s="83"/>
      <c r="CJ54" s="83"/>
      <c r="CK54" s="83"/>
      <c r="CL54" s="83"/>
      <c r="CM54" s="83"/>
      <c r="CN54" s="83"/>
      <c r="CO54" s="83"/>
      <c r="CP54" s="83"/>
      <c r="CQ54" s="83"/>
      <c r="CR54" s="83"/>
      <c r="CS54" s="83"/>
      <c r="CT54" s="83"/>
      <c r="CU54" s="83"/>
      <c r="CV54" s="83"/>
      <c r="CW54" s="83"/>
      <c r="CX54" s="83"/>
      <c r="CY54" s="83"/>
      <c r="CZ54" s="83"/>
    </row>
    <row r="55" spans="1:104" hidden="1">
      <c r="A55" s="173"/>
      <c r="B55" s="173"/>
      <c r="C55" s="62"/>
      <c r="D55" s="64" t="s">
        <v>98</v>
      </c>
      <c r="E55" s="173"/>
      <c r="F55" s="173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27"/>
      <c r="X55" s="56"/>
      <c r="Y55" s="56"/>
      <c r="Z55" s="44">
        <f t="shared" ref="Z55:AY55" si="180">SUM(Z51:Z54)</f>
        <v>0</v>
      </c>
      <c r="AA55" s="44">
        <f t="shared" si="180"/>
        <v>0</v>
      </c>
      <c r="AB55" s="44">
        <f t="shared" si="180"/>
        <v>0</v>
      </c>
      <c r="AC55" s="44">
        <f t="shared" si="180"/>
        <v>0</v>
      </c>
      <c r="AD55" s="44">
        <f t="shared" si="180"/>
        <v>0</v>
      </c>
      <c r="AE55" s="44">
        <f t="shared" si="180"/>
        <v>0</v>
      </c>
      <c r="AF55" s="44">
        <f t="shared" si="180"/>
        <v>0</v>
      </c>
      <c r="AG55" s="44">
        <f t="shared" si="180"/>
        <v>0</v>
      </c>
      <c r="AH55" s="44">
        <f t="shared" si="180"/>
        <v>0</v>
      </c>
      <c r="AI55" s="44">
        <f t="shared" si="180"/>
        <v>0</v>
      </c>
      <c r="AJ55" s="44">
        <f t="shared" si="180"/>
        <v>0</v>
      </c>
      <c r="AK55" s="44">
        <f t="shared" si="180"/>
        <v>0</v>
      </c>
      <c r="AL55" s="44">
        <f t="shared" si="180"/>
        <v>0</v>
      </c>
      <c r="AM55" s="44">
        <f t="shared" si="180"/>
        <v>0</v>
      </c>
      <c r="AN55" s="44">
        <f t="shared" si="180"/>
        <v>0</v>
      </c>
      <c r="AO55" s="44">
        <f t="shared" si="180"/>
        <v>0</v>
      </c>
      <c r="AP55" s="44">
        <f t="shared" si="180"/>
        <v>0</v>
      </c>
      <c r="AQ55" s="44">
        <f t="shared" si="180"/>
        <v>0</v>
      </c>
      <c r="AR55" s="44">
        <f t="shared" si="180"/>
        <v>0</v>
      </c>
      <c r="AS55" s="44">
        <f t="shared" si="180"/>
        <v>0</v>
      </c>
      <c r="AT55" s="44">
        <f t="shared" si="180"/>
        <v>0</v>
      </c>
      <c r="AU55" s="44">
        <f t="shared" si="180"/>
        <v>0</v>
      </c>
      <c r="AV55" s="44">
        <f t="shared" si="180"/>
        <v>0</v>
      </c>
      <c r="AW55" s="44">
        <f t="shared" si="180"/>
        <v>0</v>
      </c>
      <c r="AX55" s="44">
        <f t="shared" si="180"/>
        <v>0</v>
      </c>
      <c r="AY55" s="44">
        <f t="shared" si="180"/>
        <v>0</v>
      </c>
      <c r="AZ55" s="27"/>
      <c r="BA55" s="27"/>
      <c r="BB55" s="27"/>
      <c r="BC55" s="27"/>
      <c r="BD55" s="44">
        <f t="shared" ref="BD55:BO55" si="181">SUM(BD51:BD54)</f>
        <v>0</v>
      </c>
      <c r="BE55" s="44">
        <f t="shared" si="181"/>
        <v>0</v>
      </c>
      <c r="BF55" s="44">
        <f t="shared" si="181"/>
        <v>0</v>
      </c>
      <c r="BG55" s="44">
        <f t="shared" si="181"/>
        <v>0</v>
      </c>
      <c r="BH55" s="44">
        <f t="shared" si="181"/>
        <v>0</v>
      </c>
      <c r="BI55" s="44">
        <f t="shared" si="181"/>
        <v>0</v>
      </c>
      <c r="BJ55" s="44">
        <f t="shared" si="181"/>
        <v>0</v>
      </c>
      <c r="BK55" s="44">
        <f t="shared" si="181"/>
        <v>0</v>
      </c>
      <c r="BL55" s="44">
        <f t="shared" si="181"/>
        <v>0</v>
      </c>
      <c r="BM55" s="44">
        <f t="shared" si="181"/>
        <v>0</v>
      </c>
      <c r="BN55" s="44">
        <f t="shared" si="181"/>
        <v>0</v>
      </c>
      <c r="BO55" s="44">
        <f t="shared" si="181"/>
        <v>0</v>
      </c>
      <c r="BP55" s="173"/>
      <c r="BQ55" s="90"/>
      <c r="BR55" s="173"/>
      <c r="BS55" s="83"/>
      <c r="BT55" s="83"/>
      <c r="BU55" s="83"/>
      <c r="BV55" s="83"/>
      <c r="BW55" s="83"/>
      <c r="BX55" s="83"/>
      <c r="BY55" s="83"/>
      <c r="BZ55" s="83"/>
      <c r="CA55" s="83"/>
      <c r="CB55" s="83"/>
      <c r="CC55" s="83"/>
      <c r="CD55" s="83"/>
      <c r="CE55" s="83"/>
      <c r="CF55" s="83"/>
      <c r="CG55" s="83"/>
      <c r="CH55" s="83"/>
      <c r="CI55" s="83"/>
      <c r="CJ55" s="83"/>
      <c r="CK55" s="83"/>
      <c r="CL55" s="83"/>
      <c r="CM55" s="83"/>
      <c r="CN55" s="83"/>
      <c r="CO55" s="83"/>
      <c r="CP55" s="83"/>
      <c r="CQ55" s="83"/>
      <c r="CR55" s="83"/>
      <c r="CS55" s="83"/>
      <c r="CT55" s="83"/>
      <c r="CU55" s="83"/>
      <c r="CV55" s="83"/>
      <c r="CW55" s="83"/>
      <c r="CX55" s="83"/>
      <c r="CY55" s="83"/>
      <c r="CZ55" s="83"/>
    </row>
    <row r="56" spans="1:104" hidden="1">
      <c r="A56" s="173"/>
      <c r="B56" s="173"/>
      <c r="C56" s="60" t="s">
        <v>121</v>
      </c>
      <c r="D56" s="61" t="s">
        <v>206</v>
      </c>
      <c r="E56" s="173"/>
      <c r="F56" s="173"/>
      <c r="G56" s="173"/>
      <c r="H56" s="173"/>
      <c r="I56" s="173"/>
      <c r="J56" s="173"/>
      <c r="K56" s="173"/>
      <c r="L56" s="173"/>
      <c r="M56" s="173"/>
      <c r="N56" s="173"/>
      <c r="O56" s="173"/>
      <c r="P56" s="173"/>
      <c r="Q56" s="173"/>
      <c r="R56" s="173"/>
      <c r="S56" s="173"/>
      <c r="T56" s="173"/>
      <c r="U56" s="173"/>
      <c r="V56" s="173"/>
      <c r="W56" s="173"/>
      <c r="X56" s="173"/>
      <c r="Y56" s="173"/>
      <c r="Z56" s="173"/>
      <c r="AA56" s="173"/>
      <c r="AB56" s="173"/>
      <c r="AC56" s="173"/>
      <c r="AD56" s="173"/>
      <c r="AE56" s="173"/>
      <c r="AF56" s="173"/>
      <c r="AG56" s="173"/>
      <c r="AH56" s="173"/>
      <c r="AI56" s="173"/>
      <c r="AJ56" s="173"/>
      <c r="AK56" s="173"/>
      <c r="AL56" s="173"/>
      <c r="AM56" s="173"/>
      <c r="AN56" s="173"/>
      <c r="AO56" s="173"/>
      <c r="AP56" s="173"/>
      <c r="AQ56" s="173"/>
      <c r="AR56" s="173"/>
      <c r="AS56" s="173"/>
      <c r="AT56" s="173"/>
      <c r="AU56" s="173"/>
      <c r="AV56" s="173"/>
      <c r="AW56" s="173"/>
      <c r="AX56" s="173"/>
      <c r="AY56" s="173"/>
      <c r="AZ56" s="173"/>
      <c r="BA56" s="173"/>
      <c r="BB56" s="173"/>
      <c r="BC56" s="173"/>
      <c r="BD56" s="173"/>
      <c r="BE56" s="173"/>
      <c r="BF56" s="173"/>
      <c r="BG56" s="173"/>
      <c r="BH56" s="173"/>
      <c r="BI56" s="173"/>
      <c r="BJ56" s="173"/>
      <c r="BK56" s="173"/>
      <c r="BL56" s="173"/>
      <c r="BM56" s="173"/>
      <c r="BN56" s="173"/>
      <c r="BO56" s="173"/>
      <c r="BP56" s="173"/>
      <c r="BQ56" s="173"/>
      <c r="BR56" s="173"/>
      <c r="BS56" s="83"/>
      <c r="BT56" s="83"/>
      <c r="BU56" s="83"/>
      <c r="BV56" s="83"/>
      <c r="BW56" s="83"/>
      <c r="BX56" s="83"/>
      <c r="BY56" s="83"/>
      <c r="BZ56" s="83"/>
      <c r="CA56" s="83"/>
      <c r="CB56" s="83"/>
      <c r="CC56" s="83"/>
      <c r="CD56" s="83"/>
      <c r="CE56" s="83"/>
      <c r="CF56" s="83"/>
      <c r="CG56" s="83"/>
      <c r="CH56" s="83"/>
      <c r="CI56" s="83"/>
      <c r="CJ56" s="83"/>
      <c r="CK56" s="83"/>
      <c r="CL56" s="83"/>
      <c r="CM56" s="83"/>
      <c r="CN56" s="83"/>
      <c r="CO56" s="83"/>
      <c r="CP56" s="83"/>
      <c r="CQ56" s="83"/>
      <c r="CR56" s="83"/>
      <c r="CS56" s="83"/>
      <c r="CT56" s="83"/>
      <c r="CU56" s="83"/>
      <c r="CV56" s="83"/>
      <c r="CW56" s="83"/>
      <c r="CX56" s="83"/>
      <c r="CY56" s="83"/>
      <c r="CZ56" s="83"/>
    </row>
    <row r="57" spans="1:104" hidden="1">
      <c r="A57" s="173"/>
      <c r="B57" s="173"/>
      <c r="C57" s="62"/>
      <c r="D57" s="64"/>
      <c r="E57" s="173"/>
      <c r="F57" s="173"/>
      <c r="G57" s="44">
        <f>H57+M57+N57+O57+P57</f>
        <v>0</v>
      </c>
      <c r="H57" s="44">
        <f>SUM(I57:L57)</f>
        <v>0</v>
      </c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44">
        <f>Y57+AN57+AQ57+AT57+AW57</f>
        <v>0</v>
      </c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44">
        <f>SUM(BE57:BI57)</f>
        <v>0</v>
      </c>
      <c r="BE57" s="27"/>
      <c r="BF57" s="27"/>
      <c r="BG57" s="27"/>
      <c r="BH57" s="27"/>
      <c r="BI57" s="27"/>
      <c r="BJ57" s="44">
        <f>SUM(BK57:BO57)</f>
        <v>0</v>
      </c>
      <c r="BK57" s="27"/>
      <c r="BL57" s="27"/>
      <c r="BM57" s="27"/>
      <c r="BN57" s="27"/>
      <c r="BO57" s="27"/>
      <c r="BP57" s="173"/>
      <c r="BQ57" s="173"/>
      <c r="BR57" s="173"/>
      <c r="BS57" s="83"/>
      <c r="BT57" s="83"/>
      <c r="BU57" s="83"/>
      <c r="BV57" s="83"/>
      <c r="BW57" s="83"/>
      <c r="BX57" s="83"/>
      <c r="BY57" s="83"/>
      <c r="BZ57" s="83"/>
      <c r="CA57" s="83"/>
      <c r="CB57" s="83"/>
      <c r="CC57" s="83"/>
      <c r="CD57" s="83"/>
      <c r="CE57" s="83"/>
      <c r="CF57" s="83"/>
      <c r="CG57" s="83"/>
      <c r="CH57" s="83"/>
      <c r="CI57" s="83"/>
      <c r="CJ57" s="83"/>
      <c r="CK57" s="83"/>
      <c r="CL57" s="83"/>
      <c r="CM57" s="83"/>
      <c r="CN57" s="83"/>
      <c r="CO57" s="83"/>
      <c r="CP57" s="83"/>
      <c r="CQ57" s="83"/>
      <c r="CR57" s="83"/>
      <c r="CS57" s="83"/>
      <c r="CT57" s="83"/>
      <c r="CU57" s="83"/>
      <c r="CV57" s="83"/>
      <c r="CW57" s="83"/>
      <c r="CX57" s="83"/>
      <c r="CY57" s="83"/>
      <c r="CZ57" s="83"/>
    </row>
    <row r="58" spans="1:104" hidden="1">
      <c r="A58" s="173"/>
      <c r="B58" s="173"/>
      <c r="C58" s="62"/>
      <c r="D58" s="64"/>
      <c r="E58" s="173"/>
      <c r="F58" s="173"/>
      <c r="G58" s="44">
        <f t="shared" ref="G58:G59" si="182">H58+M58+N58+O58+P58</f>
        <v>0</v>
      </c>
      <c r="H58" s="44">
        <f t="shared" ref="H58:H59" si="183">SUM(I58:L58)</f>
        <v>0</v>
      </c>
      <c r="I58" s="28"/>
      <c r="J58" s="28"/>
      <c r="K58" s="28"/>
      <c r="L58" s="28"/>
      <c r="M58" s="28"/>
      <c r="N58" s="28"/>
      <c r="O58" s="28"/>
      <c r="P58" s="28"/>
      <c r="Q58" s="39"/>
      <c r="R58" s="39"/>
      <c r="S58" s="39"/>
      <c r="T58" s="39"/>
      <c r="U58" s="39"/>
      <c r="V58" s="39"/>
      <c r="W58" s="39"/>
      <c r="X58" s="44">
        <f t="shared" ref="X58:X59" si="184">Y58+AN58+AQ58+AT58+AW58</f>
        <v>0</v>
      </c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44">
        <f t="shared" ref="BD58:BD59" si="185">SUM(BE58:BI58)</f>
        <v>0</v>
      </c>
      <c r="BE58" s="39"/>
      <c r="BF58" s="39"/>
      <c r="BG58" s="39"/>
      <c r="BH58" s="39"/>
      <c r="BI58" s="39"/>
      <c r="BJ58" s="44">
        <f t="shared" ref="BJ58:BJ59" si="186">SUM(BK58:BO58)</f>
        <v>0</v>
      </c>
      <c r="BK58" s="39"/>
      <c r="BL58" s="39"/>
      <c r="BM58" s="39"/>
      <c r="BN58" s="39"/>
      <c r="BO58" s="39"/>
      <c r="BP58" s="173"/>
      <c r="BQ58" s="173"/>
      <c r="BR58" s="173"/>
      <c r="BS58" s="83"/>
      <c r="BT58" s="83"/>
      <c r="BU58" s="83"/>
      <c r="BV58" s="83"/>
      <c r="BW58" s="83"/>
      <c r="BX58" s="83"/>
      <c r="BY58" s="83"/>
      <c r="BZ58" s="83"/>
      <c r="CA58" s="83"/>
      <c r="CB58" s="83"/>
      <c r="CC58" s="83"/>
      <c r="CD58" s="83"/>
      <c r="CE58" s="83"/>
      <c r="CF58" s="83"/>
      <c r="CG58" s="83"/>
      <c r="CH58" s="83"/>
      <c r="CI58" s="83"/>
      <c r="CJ58" s="83"/>
      <c r="CK58" s="83"/>
      <c r="CL58" s="83"/>
      <c r="CM58" s="83"/>
      <c r="CN58" s="83"/>
      <c r="CO58" s="83"/>
      <c r="CP58" s="83"/>
      <c r="CQ58" s="83"/>
      <c r="CR58" s="83"/>
      <c r="CS58" s="83"/>
      <c r="CT58" s="83"/>
      <c r="CU58" s="83"/>
      <c r="CV58" s="83"/>
      <c r="CW58" s="83"/>
      <c r="CX58" s="83"/>
      <c r="CY58" s="83"/>
      <c r="CZ58" s="83"/>
    </row>
    <row r="59" spans="1:104" hidden="1">
      <c r="A59" s="173"/>
      <c r="B59" s="173"/>
      <c r="C59" s="62" t="s">
        <v>95</v>
      </c>
      <c r="D59" s="64"/>
      <c r="E59" s="173"/>
      <c r="F59" s="173"/>
      <c r="G59" s="44">
        <f t="shared" si="182"/>
        <v>0</v>
      </c>
      <c r="H59" s="44">
        <f t="shared" si="183"/>
        <v>0</v>
      </c>
      <c r="I59" s="28"/>
      <c r="J59" s="28"/>
      <c r="K59" s="28"/>
      <c r="L59" s="28"/>
      <c r="M59" s="28"/>
      <c r="N59" s="28"/>
      <c r="O59" s="28"/>
      <c r="P59" s="28"/>
      <c r="Q59" s="39"/>
      <c r="R59" s="39"/>
      <c r="S59" s="39"/>
      <c r="T59" s="39"/>
      <c r="U59" s="39"/>
      <c r="V59" s="39"/>
      <c r="W59" s="39"/>
      <c r="X59" s="44">
        <f t="shared" si="184"/>
        <v>0</v>
      </c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44">
        <f t="shared" si="185"/>
        <v>0</v>
      </c>
      <c r="BE59" s="39"/>
      <c r="BF59" s="39"/>
      <c r="BG59" s="39"/>
      <c r="BH59" s="39"/>
      <c r="BI59" s="39"/>
      <c r="BJ59" s="44">
        <f t="shared" si="186"/>
        <v>0</v>
      </c>
      <c r="BK59" s="39"/>
      <c r="BL59" s="39"/>
      <c r="BM59" s="39"/>
      <c r="BN59" s="39"/>
      <c r="BO59" s="39"/>
      <c r="BP59" s="173"/>
      <c r="BQ59" s="173"/>
      <c r="BR59" s="173"/>
      <c r="BS59" s="83"/>
      <c r="BT59" s="83"/>
      <c r="BU59" s="83"/>
      <c r="BV59" s="83"/>
      <c r="BW59" s="83"/>
      <c r="BX59" s="83"/>
      <c r="BY59" s="83"/>
      <c r="BZ59" s="83"/>
      <c r="CA59" s="83"/>
      <c r="CB59" s="83"/>
      <c r="CC59" s="83"/>
      <c r="CD59" s="83"/>
      <c r="CE59" s="83"/>
      <c r="CF59" s="83"/>
      <c r="CG59" s="83"/>
      <c r="CH59" s="83"/>
      <c r="CI59" s="83"/>
      <c r="CJ59" s="83"/>
      <c r="CK59" s="83"/>
      <c r="CL59" s="83"/>
      <c r="CM59" s="83"/>
      <c r="CN59" s="83"/>
      <c r="CO59" s="83"/>
      <c r="CP59" s="83"/>
      <c r="CQ59" s="83"/>
      <c r="CR59" s="83"/>
      <c r="CS59" s="83"/>
      <c r="CT59" s="83"/>
      <c r="CU59" s="83"/>
      <c r="CV59" s="83"/>
      <c r="CW59" s="83"/>
      <c r="CX59" s="83"/>
      <c r="CY59" s="83"/>
      <c r="CZ59" s="83"/>
    </row>
    <row r="60" spans="1:104" hidden="1">
      <c r="A60" s="173"/>
      <c r="B60" s="173"/>
      <c r="C60" s="62"/>
      <c r="D60" s="64" t="s">
        <v>98</v>
      </c>
      <c r="E60" s="173"/>
      <c r="F60" s="173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27"/>
      <c r="X60" s="56"/>
      <c r="Y60" s="56"/>
      <c r="Z60" s="44">
        <f t="shared" ref="Z60:AY60" si="187">SUM(Z56:Z59)</f>
        <v>0</v>
      </c>
      <c r="AA60" s="44">
        <f t="shared" si="187"/>
        <v>0</v>
      </c>
      <c r="AB60" s="44">
        <f t="shared" si="187"/>
        <v>0</v>
      </c>
      <c r="AC60" s="44">
        <f t="shared" si="187"/>
        <v>0</v>
      </c>
      <c r="AD60" s="44">
        <f t="shared" si="187"/>
        <v>0</v>
      </c>
      <c r="AE60" s="44">
        <f t="shared" si="187"/>
        <v>0</v>
      </c>
      <c r="AF60" s="44">
        <f t="shared" si="187"/>
        <v>0</v>
      </c>
      <c r="AG60" s="44">
        <f t="shared" si="187"/>
        <v>0</v>
      </c>
      <c r="AH60" s="44">
        <f t="shared" si="187"/>
        <v>0</v>
      </c>
      <c r="AI60" s="44">
        <f t="shared" si="187"/>
        <v>0</v>
      </c>
      <c r="AJ60" s="44">
        <f t="shared" si="187"/>
        <v>0</v>
      </c>
      <c r="AK60" s="44">
        <f t="shared" si="187"/>
        <v>0</v>
      </c>
      <c r="AL60" s="44">
        <f t="shared" si="187"/>
        <v>0</v>
      </c>
      <c r="AM60" s="44">
        <f t="shared" si="187"/>
        <v>0</v>
      </c>
      <c r="AN60" s="44">
        <f t="shared" si="187"/>
        <v>0</v>
      </c>
      <c r="AO60" s="44">
        <f t="shared" si="187"/>
        <v>0</v>
      </c>
      <c r="AP60" s="44">
        <f t="shared" si="187"/>
        <v>0</v>
      </c>
      <c r="AQ60" s="44">
        <f t="shared" si="187"/>
        <v>0</v>
      </c>
      <c r="AR60" s="44">
        <f t="shared" si="187"/>
        <v>0</v>
      </c>
      <c r="AS60" s="44">
        <f t="shared" si="187"/>
        <v>0</v>
      </c>
      <c r="AT60" s="44">
        <f t="shared" si="187"/>
        <v>0</v>
      </c>
      <c r="AU60" s="44">
        <f t="shared" si="187"/>
        <v>0</v>
      </c>
      <c r="AV60" s="44">
        <f t="shared" si="187"/>
        <v>0</v>
      </c>
      <c r="AW60" s="44">
        <f t="shared" si="187"/>
        <v>0</v>
      </c>
      <c r="AX60" s="44">
        <f t="shared" si="187"/>
        <v>0</v>
      </c>
      <c r="AY60" s="44">
        <f t="shared" si="187"/>
        <v>0</v>
      </c>
      <c r="AZ60" s="27"/>
      <c r="BA60" s="27"/>
      <c r="BB60" s="27"/>
      <c r="BC60" s="27"/>
      <c r="BD60" s="44">
        <f t="shared" ref="BD60:BO60" si="188">SUM(BD56:BD59)</f>
        <v>0</v>
      </c>
      <c r="BE60" s="44">
        <f t="shared" si="188"/>
        <v>0</v>
      </c>
      <c r="BF60" s="44">
        <f t="shared" si="188"/>
        <v>0</v>
      </c>
      <c r="BG60" s="44">
        <f t="shared" si="188"/>
        <v>0</v>
      </c>
      <c r="BH60" s="44">
        <f t="shared" si="188"/>
        <v>0</v>
      </c>
      <c r="BI60" s="44">
        <f t="shared" si="188"/>
        <v>0</v>
      </c>
      <c r="BJ60" s="44">
        <f t="shared" si="188"/>
        <v>0</v>
      </c>
      <c r="BK60" s="44">
        <f t="shared" si="188"/>
        <v>0</v>
      </c>
      <c r="BL60" s="44">
        <f t="shared" si="188"/>
        <v>0</v>
      </c>
      <c r="BM60" s="44">
        <f t="shared" si="188"/>
        <v>0</v>
      </c>
      <c r="BN60" s="44">
        <f t="shared" si="188"/>
        <v>0</v>
      </c>
      <c r="BO60" s="44">
        <f t="shared" si="188"/>
        <v>0</v>
      </c>
      <c r="BP60" s="173"/>
      <c r="BQ60" s="173"/>
      <c r="BR60" s="173"/>
      <c r="BS60" s="83"/>
      <c r="BT60" s="83"/>
      <c r="BU60" s="83"/>
      <c r="BV60" s="83"/>
      <c r="BW60" s="83"/>
      <c r="BX60" s="83"/>
      <c r="BY60" s="83"/>
      <c r="BZ60" s="83"/>
      <c r="CA60" s="83"/>
      <c r="CB60" s="83"/>
      <c r="CC60" s="83"/>
      <c r="CD60" s="83"/>
      <c r="CE60" s="83"/>
      <c r="CF60" s="83"/>
      <c r="CG60" s="83"/>
      <c r="CH60" s="83"/>
      <c r="CI60" s="83"/>
      <c r="CJ60" s="83"/>
      <c r="CK60" s="83"/>
      <c r="CL60" s="83"/>
      <c r="CM60" s="83"/>
      <c r="CN60" s="83"/>
      <c r="CO60" s="83"/>
      <c r="CP60" s="83"/>
      <c r="CQ60" s="83"/>
      <c r="CR60" s="83"/>
      <c r="CS60" s="83"/>
      <c r="CT60" s="83"/>
      <c r="CU60" s="83"/>
      <c r="CV60" s="83"/>
      <c r="CW60" s="83"/>
      <c r="CX60" s="83"/>
      <c r="CY60" s="83"/>
      <c r="CZ60" s="83"/>
    </row>
    <row r="61" spans="1:104" hidden="1">
      <c r="A61" s="173"/>
      <c r="B61" s="173"/>
      <c r="C61" s="60" t="s">
        <v>122</v>
      </c>
      <c r="D61" s="61" t="s">
        <v>54</v>
      </c>
      <c r="E61" s="173"/>
      <c r="F61" s="173"/>
      <c r="G61" s="173"/>
      <c r="H61" s="173"/>
      <c r="I61" s="173"/>
      <c r="J61" s="173"/>
      <c r="K61" s="173"/>
      <c r="L61" s="173"/>
      <c r="M61" s="173"/>
      <c r="N61" s="173"/>
      <c r="O61" s="173"/>
      <c r="P61" s="173"/>
      <c r="Q61" s="173"/>
      <c r="R61" s="173"/>
      <c r="S61" s="173"/>
      <c r="T61" s="173"/>
      <c r="U61" s="173"/>
      <c r="V61" s="173"/>
      <c r="W61" s="173"/>
      <c r="X61" s="173"/>
      <c r="Y61" s="173"/>
      <c r="Z61" s="173"/>
      <c r="AA61" s="173"/>
      <c r="AB61" s="173"/>
      <c r="AC61" s="173"/>
      <c r="AD61" s="173"/>
      <c r="AE61" s="173"/>
      <c r="AF61" s="173"/>
      <c r="AG61" s="173"/>
      <c r="AH61" s="173"/>
      <c r="AI61" s="173"/>
      <c r="AJ61" s="173"/>
      <c r="AK61" s="173"/>
      <c r="AL61" s="173"/>
      <c r="AM61" s="173"/>
      <c r="AN61" s="173"/>
      <c r="AO61" s="173"/>
      <c r="AP61" s="173"/>
      <c r="AQ61" s="173"/>
      <c r="AR61" s="173"/>
      <c r="AS61" s="173"/>
      <c r="AT61" s="173"/>
      <c r="AU61" s="173"/>
      <c r="AV61" s="173"/>
      <c r="AW61" s="173"/>
      <c r="AX61" s="173"/>
      <c r="AY61" s="173"/>
      <c r="AZ61" s="173"/>
      <c r="BA61" s="173"/>
      <c r="BB61" s="173"/>
      <c r="BC61" s="173"/>
      <c r="BD61" s="173"/>
      <c r="BE61" s="173"/>
      <c r="BF61" s="173"/>
      <c r="BG61" s="173"/>
      <c r="BH61" s="173"/>
      <c r="BI61" s="173"/>
      <c r="BJ61" s="173"/>
      <c r="BK61" s="173"/>
      <c r="BL61" s="173"/>
      <c r="BM61" s="173"/>
      <c r="BN61" s="173"/>
      <c r="BO61" s="173"/>
      <c r="BP61" s="173"/>
      <c r="BQ61" s="173"/>
      <c r="BR61" s="173"/>
      <c r="BS61" s="83"/>
      <c r="BT61" s="83"/>
      <c r="BU61" s="83"/>
      <c r="BV61" s="83"/>
      <c r="BW61" s="83"/>
      <c r="BX61" s="83"/>
      <c r="BY61" s="83"/>
      <c r="BZ61" s="83"/>
      <c r="CA61" s="83"/>
      <c r="CB61" s="83"/>
      <c r="CC61" s="83"/>
      <c r="CD61" s="83"/>
      <c r="CE61" s="83"/>
      <c r="CF61" s="83"/>
      <c r="CG61" s="83"/>
      <c r="CH61" s="83"/>
      <c r="CI61" s="83"/>
      <c r="CJ61" s="83"/>
      <c r="CK61" s="83"/>
      <c r="CL61" s="83"/>
      <c r="CM61" s="83"/>
      <c r="CN61" s="83"/>
      <c r="CO61" s="83"/>
      <c r="CP61" s="83"/>
      <c r="CQ61" s="83"/>
      <c r="CR61" s="83"/>
      <c r="CS61" s="83"/>
      <c r="CT61" s="83"/>
      <c r="CU61" s="83"/>
      <c r="CV61" s="83"/>
      <c r="CW61" s="83"/>
      <c r="CX61" s="83"/>
      <c r="CY61" s="83"/>
      <c r="CZ61" s="83"/>
    </row>
    <row r="62" spans="1:104" hidden="1">
      <c r="A62" s="173"/>
      <c r="B62" s="173"/>
      <c r="C62" s="62"/>
      <c r="D62" s="64"/>
      <c r="E62" s="173"/>
      <c r="F62" s="173"/>
      <c r="G62" s="44">
        <f>H62+M62+N62+O62+P62</f>
        <v>0</v>
      </c>
      <c r="H62" s="44">
        <f>SUM(I62:L62)</f>
        <v>0</v>
      </c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44">
        <f>Y62+AN62+AQ62+AT62+AW62</f>
        <v>0</v>
      </c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44">
        <f>SUM(BE62:BI62)</f>
        <v>0</v>
      </c>
      <c r="BE62" s="27"/>
      <c r="BF62" s="27"/>
      <c r="BG62" s="27"/>
      <c r="BH62" s="27"/>
      <c r="BI62" s="27"/>
      <c r="BJ62" s="44">
        <f>SUM(BK62:BO62)</f>
        <v>0</v>
      </c>
      <c r="BK62" s="27"/>
      <c r="BL62" s="27"/>
      <c r="BM62" s="27"/>
      <c r="BN62" s="27"/>
      <c r="BO62" s="27"/>
      <c r="BP62" s="173"/>
      <c r="BQ62" s="173"/>
      <c r="BR62" s="173"/>
      <c r="BS62" s="83"/>
      <c r="BT62" s="83"/>
      <c r="BU62" s="83"/>
      <c r="BV62" s="83"/>
      <c r="BW62" s="83"/>
      <c r="BX62" s="83"/>
      <c r="BY62" s="83"/>
      <c r="BZ62" s="83"/>
      <c r="CA62" s="83"/>
      <c r="CB62" s="83"/>
      <c r="CC62" s="83"/>
      <c r="CD62" s="83"/>
      <c r="CE62" s="83"/>
      <c r="CF62" s="83"/>
      <c r="CG62" s="83"/>
      <c r="CH62" s="83"/>
      <c r="CI62" s="83"/>
      <c r="CJ62" s="83"/>
      <c r="CK62" s="83"/>
      <c r="CL62" s="83"/>
      <c r="CM62" s="83"/>
      <c r="CN62" s="83"/>
      <c r="CO62" s="83"/>
      <c r="CP62" s="83"/>
      <c r="CQ62" s="83"/>
      <c r="CR62" s="83"/>
      <c r="CS62" s="83"/>
      <c r="CT62" s="83"/>
      <c r="CU62" s="83"/>
      <c r="CV62" s="83"/>
      <c r="CW62" s="83"/>
      <c r="CX62" s="83"/>
      <c r="CY62" s="83"/>
      <c r="CZ62" s="83"/>
    </row>
    <row r="63" spans="1:104" hidden="1">
      <c r="A63" s="173"/>
      <c r="B63" s="173"/>
      <c r="C63" s="62"/>
      <c r="D63" s="64"/>
      <c r="E63" s="173"/>
      <c r="F63" s="173"/>
      <c r="G63" s="44">
        <f t="shared" ref="G63:G64" si="189">H63+M63+N63+O63+P63</f>
        <v>0</v>
      </c>
      <c r="H63" s="44">
        <f t="shared" ref="H63:H64" si="190">SUM(I63:L63)</f>
        <v>0</v>
      </c>
      <c r="I63" s="28"/>
      <c r="J63" s="28"/>
      <c r="K63" s="28"/>
      <c r="L63" s="28"/>
      <c r="M63" s="28"/>
      <c r="N63" s="28"/>
      <c r="O63" s="28"/>
      <c r="P63" s="28"/>
      <c r="Q63" s="39"/>
      <c r="R63" s="39"/>
      <c r="S63" s="39"/>
      <c r="T63" s="39"/>
      <c r="U63" s="39"/>
      <c r="V63" s="39"/>
      <c r="W63" s="39"/>
      <c r="X63" s="44">
        <f t="shared" ref="X63:X64" si="191">Y63+AN63+AQ63+AT63+AW63</f>
        <v>0</v>
      </c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39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44">
        <f t="shared" ref="BD63:BD64" si="192">SUM(BE63:BI63)</f>
        <v>0</v>
      </c>
      <c r="BE63" s="39"/>
      <c r="BF63" s="39"/>
      <c r="BG63" s="39"/>
      <c r="BH63" s="39"/>
      <c r="BI63" s="39"/>
      <c r="BJ63" s="44">
        <f t="shared" ref="BJ63:BJ64" si="193">SUM(BK63:BO63)</f>
        <v>0</v>
      </c>
      <c r="BK63" s="39"/>
      <c r="BL63" s="39"/>
      <c r="BM63" s="39"/>
      <c r="BN63" s="39"/>
      <c r="BO63" s="39"/>
      <c r="BP63" s="173"/>
      <c r="BQ63" s="173"/>
      <c r="BR63" s="173"/>
      <c r="BS63" s="83"/>
      <c r="BT63" s="83"/>
      <c r="BU63" s="83"/>
      <c r="BV63" s="83"/>
      <c r="BW63" s="83"/>
      <c r="BX63" s="83"/>
      <c r="BY63" s="83"/>
      <c r="BZ63" s="83"/>
      <c r="CA63" s="83"/>
      <c r="CB63" s="83"/>
      <c r="CC63" s="83"/>
      <c r="CD63" s="83"/>
      <c r="CE63" s="83"/>
      <c r="CF63" s="83"/>
      <c r="CG63" s="83"/>
      <c r="CH63" s="83"/>
      <c r="CI63" s="83"/>
      <c r="CJ63" s="83"/>
      <c r="CK63" s="83"/>
      <c r="CL63" s="83"/>
      <c r="CM63" s="83"/>
      <c r="CN63" s="83"/>
      <c r="CO63" s="83"/>
      <c r="CP63" s="83"/>
      <c r="CQ63" s="83"/>
      <c r="CR63" s="83"/>
      <c r="CS63" s="83"/>
      <c r="CT63" s="83"/>
      <c r="CU63" s="83"/>
      <c r="CV63" s="83"/>
      <c r="CW63" s="83"/>
      <c r="CX63" s="83"/>
      <c r="CY63" s="83"/>
      <c r="CZ63" s="83"/>
    </row>
    <row r="64" spans="1:104" hidden="1">
      <c r="A64" s="173"/>
      <c r="B64" s="173"/>
      <c r="C64" s="62" t="s">
        <v>95</v>
      </c>
      <c r="D64" s="64"/>
      <c r="E64" s="173"/>
      <c r="F64" s="173"/>
      <c r="G64" s="44">
        <f t="shared" si="189"/>
        <v>0</v>
      </c>
      <c r="H64" s="44">
        <f t="shared" si="190"/>
        <v>0</v>
      </c>
      <c r="I64" s="28"/>
      <c r="J64" s="28"/>
      <c r="K64" s="28"/>
      <c r="L64" s="28"/>
      <c r="M64" s="28"/>
      <c r="N64" s="28"/>
      <c r="O64" s="28"/>
      <c r="P64" s="28"/>
      <c r="Q64" s="39"/>
      <c r="R64" s="39"/>
      <c r="S64" s="39"/>
      <c r="T64" s="39"/>
      <c r="U64" s="39"/>
      <c r="V64" s="39"/>
      <c r="W64" s="39"/>
      <c r="X64" s="44">
        <f t="shared" si="191"/>
        <v>0</v>
      </c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44">
        <f t="shared" si="192"/>
        <v>0</v>
      </c>
      <c r="BE64" s="39"/>
      <c r="BF64" s="39"/>
      <c r="BG64" s="39"/>
      <c r="BH64" s="39"/>
      <c r="BI64" s="39"/>
      <c r="BJ64" s="44">
        <f t="shared" si="193"/>
        <v>0</v>
      </c>
      <c r="BK64" s="39"/>
      <c r="BL64" s="39"/>
      <c r="BM64" s="39"/>
      <c r="BN64" s="39"/>
      <c r="BO64" s="39"/>
      <c r="BP64" s="173"/>
      <c r="BQ64" s="173"/>
      <c r="BR64" s="173"/>
    </row>
    <row r="65" spans="1:70" hidden="1">
      <c r="A65" s="173"/>
      <c r="B65" s="173"/>
      <c r="C65" s="62"/>
      <c r="D65" s="64" t="s">
        <v>98</v>
      </c>
      <c r="E65" s="173"/>
      <c r="F65" s="173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27"/>
      <c r="X65" s="56"/>
      <c r="Y65" s="56"/>
      <c r="Z65" s="44">
        <f t="shared" ref="Z65:AY65" si="194">SUM(Z61:Z64)</f>
        <v>0</v>
      </c>
      <c r="AA65" s="44">
        <f t="shared" si="194"/>
        <v>0</v>
      </c>
      <c r="AB65" s="44">
        <f t="shared" si="194"/>
        <v>0</v>
      </c>
      <c r="AC65" s="44">
        <f t="shared" si="194"/>
        <v>0</v>
      </c>
      <c r="AD65" s="44">
        <f t="shared" si="194"/>
        <v>0</v>
      </c>
      <c r="AE65" s="44">
        <f t="shared" si="194"/>
        <v>0</v>
      </c>
      <c r="AF65" s="44">
        <f t="shared" si="194"/>
        <v>0</v>
      </c>
      <c r="AG65" s="44">
        <f t="shared" si="194"/>
        <v>0</v>
      </c>
      <c r="AH65" s="44">
        <f t="shared" si="194"/>
        <v>0</v>
      </c>
      <c r="AI65" s="44">
        <f t="shared" si="194"/>
        <v>0</v>
      </c>
      <c r="AJ65" s="44">
        <f t="shared" si="194"/>
        <v>0</v>
      </c>
      <c r="AK65" s="44">
        <f t="shared" si="194"/>
        <v>0</v>
      </c>
      <c r="AL65" s="44">
        <f t="shared" si="194"/>
        <v>0</v>
      </c>
      <c r="AM65" s="44">
        <f t="shared" si="194"/>
        <v>0</v>
      </c>
      <c r="AN65" s="44">
        <f t="shared" si="194"/>
        <v>0</v>
      </c>
      <c r="AO65" s="44">
        <f t="shared" si="194"/>
        <v>0</v>
      </c>
      <c r="AP65" s="44">
        <f t="shared" si="194"/>
        <v>0</v>
      </c>
      <c r="AQ65" s="44">
        <f t="shared" si="194"/>
        <v>0</v>
      </c>
      <c r="AR65" s="44">
        <f t="shared" si="194"/>
        <v>0</v>
      </c>
      <c r="AS65" s="44">
        <f t="shared" si="194"/>
        <v>0</v>
      </c>
      <c r="AT65" s="44">
        <f t="shared" si="194"/>
        <v>0</v>
      </c>
      <c r="AU65" s="44">
        <f t="shared" si="194"/>
        <v>0</v>
      </c>
      <c r="AV65" s="44">
        <f t="shared" si="194"/>
        <v>0</v>
      </c>
      <c r="AW65" s="44">
        <f t="shared" si="194"/>
        <v>0</v>
      </c>
      <c r="AX65" s="44">
        <f t="shared" si="194"/>
        <v>0</v>
      </c>
      <c r="AY65" s="44">
        <f t="shared" si="194"/>
        <v>0</v>
      </c>
      <c r="AZ65" s="27"/>
      <c r="BA65" s="27"/>
      <c r="BB65" s="27"/>
      <c r="BC65" s="27"/>
      <c r="BD65" s="44">
        <f t="shared" ref="BD65:BO65" si="195">SUM(BD61:BD64)</f>
        <v>0</v>
      </c>
      <c r="BE65" s="44">
        <f t="shared" si="195"/>
        <v>0</v>
      </c>
      <c r="BF65" s="44">
        <f t="shared" si="195"/>
        <v>0</v>
      </c>
      <c r="BG65" s="44">
        <f t="shared" si="195"/>
        <v>0</v>
      </c>
      <c r="BH65" s="44">
        <f t="shared" si="195"/>
        <v>0</v>
      </c>
      <c r="BI65" s="44">
        <f t="shared" si="195"/>
        <v>0</v>
      </c>
      <c r="BJ65" s="44">
        <f t="shared" si="195"/>
        <v>0</v>
      </c>
      <c r="BK65" s="44">
        <f t="shared" si="195"/>
        <v>0</v>
      </c>
      <c r="BL65" s="44">
        <f t="shared" si="195"/>
        <v>0</v>
      </c>
      <c r="BM65" s="44">
        <f t="shared" si="195"/>
        <v>0</v>
      </c>
      <c r="BN65" s="44">
        <f t="shared" si="195"/>
        <v>0</v>
      </c>
      <c r="BO65" s="44">
        <f t="shared" si="195"/>
        <v>0</v>
      </c>
      <c r="BP65" s="173"/>
      <c r="BQ65" s="173"/>
      <c r="BR65" s="173"/>
    </row>
    <row r="66" spans="1:70" hidden="1">
      <c r="A66" s="173"/>
      <c r="B66" s="173"/>
      <c r="C66" s="60" t="s">
        <v>123</v>
      </c>
      <c r="D66" s="61" t="s">
        <v>55</v>
      </c>
      <c r="E66" s="173"/>
      <c r="F66" s="173"/>
      <c r="G66" s="173"/>
      <c r="H66" s="173"/>
      <c r="I66" s="173"/>
      <c r="J66" s="173"/>
      <c r="K66" s="173"/>
      <c r="L66" s="173"/>
      <c r="M66" s="173"/>
      <c r="N66" s="173"/>
      <c r="O66" s="173"/>
      <c r="P66" s="173"/>
      <c r="Q66" s="173"/>
      <c r="R66" s="173"/>
      <c r="S66" s="173"/>
      <c r="T66" s="173"/>
      <c r="U66" s="173"/>
      <c r="V66" s="173"/>
      <c r="W66" s="173"/>
      <c r="X66" s="173"/>
      <c r="Y66" s="173"/>
      <c r="Z66" s="173"/>
      <c r="AA66" s="173"/>
      <c r="AB66" s="173"/>
      <c r="AC66" s="173"/>
      <c r="AD66" s="173"/>
      <c r="AE66" s="173"/>
      <c r="AF66" s="173"/>
      <c r="AG66" s="173"/>
      <c r="AH66" s="173"/>
      <c r="AI66" s="173"/>
      <c r="AJ66" s="173"/>
      <c r="AK66" s="173"/>
      <c r="AL66" s="173"/>
      <c r="AM66" s="173"/>
      <c r="AN66" s="173"/>
      <c r="AO66" s="173"/>
      <c r="AP66" s="173"/>
      <c r="AQ66" s="173"/>
      <c r="AR66" s="173"/>
      <c r="AS66" s="173"/>
      <c r="AT66" s="173"/>
      <c r="AU66" s="173"/>
      <c r="AV66" s="173"/>
      <c r="AW66" s="173"/>
      <c r="AX66" s="173"/>
      <c r="AY66" s="173"/>
      <c r="AZ66" s="173"/>
      <c r="BA66" s="173"/>
      <c r="BB66" s="173"/>
      <c r="BC66" s="173"/>
      <c r="BD66" s="173"/>
      <c r="BE66" s="173"/>
      <c r="BF66" s="173"/>
      <c r="BG66" s="173"/>
      <c r="BH66" s="173"/>
      <c r="BI66" s="173"/>
      <c r="BJ66" s="173"/>
      <c r="BK66" s="173"/>
      <c r="BL66" s="173"/>
      <c r="BM66" s="173"/>
      <c r="BN66" s="173"/>
      <c r="BO66" s="173"/>
      <c r="BP66" s="173"/>
      <c r="BQ66" s="173"/>
      <c r="BR66" s="173"/>
    </row>
    <row r="67" spans="1:70" hidden="1">
      <c r="A67" s="173"/>
      <c r="B67" s="173"/>
      <c r="C67" s="62"/>
      <c r="D67" s="64"/>
      <c r="E67" s="173"/>
      <c r="F67" s="173"/>
      <c r="G67" s="44">
        <f>H67+M67+N67+O67+P67</f>
        <v>0</v>
      </c>
      <c r="H67" s="44">
        <f>SUM(I67:L67)</f>
        <v>0</v>
      </c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44">
        <f>Y67+AN67+AQ67+AT67+AW67</f>
        <v>0</v>
      </c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44">
        <f>SUM(BE67:BI67)</f>
        <v>0</v>
      </c>
      <c r="BE67" s="27"/>
      <c r="BF67" s="27"/>
      <c r="BG67" s="27"/>
      <c r="BH67" s="27"/>
      <c r="BI67" s="27"/>
      <c r="BJ67" s="44">
        <f>SUM(BK67:BO67)</f>
        <v>0</v>
      </c>
      <c r="BK67" s="27"/>
      <c r="BL67" s="27"/>
      <c r="BM67" s="27"/>
      <c r="BN67" s="27"/>
      <c r="BO67" s="27"/>
      <c r="BP67" s="173"/>
      <c r="BQ67" s="173"/>
      <c r="BR67" s="173"/>
    </row>
    <row r="68" spans="1:70" hidden="1">
      <c r="A68" s="173"/>
      <c r="B68" s="173"/>
      <c r="C68" s="62"/>
      <c r="D68" s="64"/>
      <c r="E68" s="173"/>
      <c r="F68" s="173"/>
      <c r="G68" s="44">
        <f t="shared" ref="G68:G69" si="196">H68+M68+N68+O68+P68</f>
        <v>0</v>
      </c>
      <c r="H68" s="44">
        <f t="shared" ref="H68:H69" si="197">SUM(I68:L68)</f>
        <v>0</v>
      </c>
      <c r="I68" s="28"/>
      <c r="J68" s="28"/>
      <c r="K68" s="28"/>
      <c r="L68" s="28"/>
      <c r="M68" s="28"/>
      <c r="N68" s="28"/>
      <c r="O68" s="28"/>
      <c r="P68" s="28"/>
      <c r="Q68" s="39"/>
      <c r="R68" s="39"/>
      <c r="S68" s="39"/>
      <c r="T68" s="39"/>
      <c r="U68" s="39"/>
      <c r="V68" s="39"/>
      <c r="W68" s="39"/>
      <c r="X68" s="44">
        <f t="shared" ref="X68:X69" si="198">Y68+AN68+AQ68+AT68+AW68</f>
        <v>0</v>
      </c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44">
        <f t="shared" ref="BD68:BD69" si="199">SUM(BE68:BI68)</f>
        <v>0</v>
      </c>
      <c r="BE68" s="39"/>
      <c r="BF68" s="39"/>
      <c r="BG68" s="39"/>
      <c r="BH68" s="39"/>
      <c r="BI68" s="39"/>
      <c r="BJ68" s="44">
        <f t="shared" ref="BJ68:BJ69" si="200">SUM(BK68:BO68)</f>
        <v>0</v>
      </c>
      <c r="BK68" s="39"/>
      <c r="BL68" s="39"/>
      <c r="BM68" s="39"/>
      <c r="BN68" s="39"/>
      <c r="BO68" s="39"/>
      <c r="BP68" s="173"/>
      <c r="BQ68" s="173"/>
      <c r="BR68" s="173"/>
    </row>
    <row r="69" spans="1:70" hidden="1">
      <c r="A69" s="173"/>
      <c r="B69" s="173"/>
      <c r="C69" s="62" t="s">
        <v>95</v>
      </c>
      <c r="D69" s="64"/>
      <c r="E69" s="173"/>
      <c r="F69" s="173"/>
      <c r="G69" s="44">
        <f t="shared" si="196"/>
        <v>0</v>
      </c>
      <c r="H69" s="44">
        <f t="shared" si="197"/>
        <v>0</v>
      </c>
      <c r="I69" s="28"/>
      <c r="J69" s="28"/>
      <c r="K69" s="28"/>
      <c r="L69" s="28"/>
      <c r="M69" s="28"/>
      <c r="N69" s="28"/>
      <c r="O69" s="28"/>
      <c r="P69" s="28"/>
      <c r="Q69" s="39"/>
      <c r="R69" s="39"/>
      <c r="S69" s="39"/>
      <c r="T69" s="39"/>
      <c r="U69" s="39"/>
      <c r="V69" s="39"/>
      <c r="W69" s="39"/>
      <c r="X69" s="44">
        <f t="shared" si="198"/>
        <v>0</v>
      </c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44">
        <f t="shared" si="199"/>
        <v>0</v>
      </c>
      <c r="BE69" s="39"/>
      <c r="BF69" s="39"/>
      <c r="BG69" s="39"/>
      <c r="BH69" s="39"/>
      <c r="BI69" s="39"/>
      <c r="BJ69" s="44">
        <f t="shared" si="200"/>
        <v>0</v>
      </c>
      <c r="BK69" s="39"/>
      <c r="BL69" s="39"/>
      <c r="BM69" s="39"/>
      <c r="BN69" s="39"/>
      <c r="BO69" s="39"/>
      <c r="BP69" s="173"/>
      <c r="BQ69" s="173"/>
      <c r="BR69" s="173"/>
    </row>
    <row r="70" spans="1:70" hidden="1">
      <c r="A70" s="173"/>
      <c r="B70" s="173"/>
      <c r="C70" s="62"/>
      <c r="D70" s="64" t="s">
        <v>98</v>
      </c>
      <c r="E70" s="173"/>
      <c r="F70" s="173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27"/>
      <c r="X70" s="56"/>
      <c r="Y70" s="56"/>
      <c r="Z70" s="44">
        <f t="shared" ref="Z70:AY70" si="201">SUM(Z66:Z69)</f>
        <v>0</v>
      </c>
      <c r="AA70" s="44">
        <f t="shared" si="201"/>
        <v>0</v>
      </c>
      <c r="AB70" s="44">
        <f t="shared" si="201"/>
        <v>0</v>
      </c>
      <c r="AC70" s="44">
        <f t="shared" si="201"/>
        <v>0</v>
      </c>
      <c r="AD70" s="44">
        <f t="shared" si="201"/>
        <v>0</v>
      </c>
      <c r="AE70" s="44">
        <f t="shared" si="201"/>
        <v>0</v>
      </c>
      <c r="AF70" s="44">
        <f t="shared" si="201"/>
        <v>0</v>
      </c>
      <c r="AG70" s="44">
        <f t="shared" si="201"/>
        <v>0</v>
      </c>
      <c r="AH70" s="44">
        <f t="shared" si="201"/>
        <v>0</v>
      </c>
      <c r="AI70" s="44">
        <f t="shared" si="201"/>
        <v>0</v>
      </c>
      <c r="AJ70" s="44">
        <f t="shared" si="201"/>
        <v>0</v>
      </c>
      <c r="AK70" s="44">
        <f t="shared" si="201"/>
        <v>0</v>
      </c>
      <c r="AL70" s="44">
        <f t="shared" si="201"/>
        <v>0</v>
      </c>
      <c r="AM70" s="44">
        <f t="shared" si="201"/>
        <v>0</v>
      </c>
      <c r="AN70" s="44">
        <f t="shared" si="201"/>
        <v>0</v>
      </c>
      <c r="AO70" s="44">
        <f t="shared" si="201"/>
        <v>0</v>
      </c>
      <c r="AP70" s="44">
        <f t="shared" si="201"/>
        <v>0</v>
      </c>
      <c r="AQ70" s="44">
        <f t="shared" si="201"/>
        <v>0</v>
      </c>
      <c r="AR70" s="44">
        <f t="shared" si="201"/>
        <v>0</v>
      </c>
      <c r="AS70" s="44">
        <f t="shared" si="201"/>
        <v>0</v>
      </c>
      <c r="AT70" s="44">
        <f t="shared" si="201"/>
        <v>0</v>
      </c>
      <c r="AU70" s="44">
        <f t="shared" si="201"/>
        <v>0</v>
      </c>
      <c r="AV70" s="44">
        <f t="shared" si="201"/>
        <v>0</v>
      </c>
      <c r="AW70" s="44">
        <f t="shared" si="201"/>
        <v>0</v>
      </c>
      <c r="AX70" s="44">
        <f t="shared" si="201"/>
        <v>0</v>
      </c>
      <c r="AY70" s="44">
        <f t="shared" si="201"/>
        <v>0</v>
      </c>
      <c r="AZ70" s="27"/>
      <c r="BA70" s="27"/>
      <c r="BB70" s="27"/>
      <c r="BC70" s="27"/>
      <c r="BD70" s="44">
        <f t="shared" ref="BD70:BO70" si="202">SUM(BD66:BD69)</f>
        <v>0</v>
      </c>
      <c r="BE70" s="44">
        <f t="shared" si="202"/>
        <v>0</v>
      </c>
      <c r="BF70" s="44">
        <f t="shared" si="202"/>
        <v>0</v>
      </c>
      <c r="BG70" s="44">
        <f t="shared" si="202"/>
        <v>0</v>
      </c>
      <c r="BH70" s="44">
        <f t="shared" si="202"/>
        <v>0</v>
      </c>
      <c r="BI70" s="44">
        <f t="shared" si="202"/>
        <v>0</v>
      </c>
      <c r="BJ70" s="44">
        <f t="shared" si="202"/>
        <v>0</v>
      </c>
      <c r="BK70" s="44">
        <f t="shared" si="202"/>
        <v>0</v>
      </c>
      <c r="BL70" s="44">
        <f t="shared" si="202"/>
        <v>0</v>
      </c>
      <c r="BM70" s="44">
        <f t="shared" si="202"/>
        <v>0</v>
      </c>
      <c r="BN70" s="44">
        <f t="shared" si="202"/>
        <v>0</v>
      </c>
      <c r="BO70" s="44">
        <f t="shared" si="202"/>
        <v>0</v>
      </c>
      <c r="BP70" s="173"/>
      <c r="BQ70" s="173"/>
      <c r="BR70" s="173"/>
    </row>
    <row r="71" spans="1:70" hidden="1">
      <c r="A71" s="173"/>
      <c r="B71" s="173"/>
      <c r="C71" s="26" t="s">
        <v>46</v>
      </c>
      <c r="D71" s="52" t="s">
        <v>96</v>
      </c>
      <c r="E71" s="173"/>
      <c r="F71" s="173"/>
      <c r="G71" s="173"/>
      <c r="H71" s="173"/>
      <c r="I71" s="173"/>
      <c r="J71" s="173"/>
      <c r="K71" s="173"/>
      <c r="L71" s="173"/>
      <c r="M71" s="173"/>
      <c r="N71" s="173"/>
      <c r="O71" s="173"/>
      <c r="P71" s="173"/>
      <c r="Q71" s="173"/>
      <c r="R71" s="173"/>
      <c r="S71" s="173"/>
      <c r="T71" s="173"/>
      <c r="U71" s="173"/>
      <c r="V71" s="173"/>
      <c r="W71" s="173"/>
      <c r="X71" s="173"/>
      <c r="Y71" s="173"/>
      <c r="Z71" s="173"/>
      <c r="AA71" s="173"/>
      <c r="AB71" s="173"/>
      <c r="AC71" s="173"/>
      <c r="AD71" s="173"/>
      <c r="AE71" s="173"/>
      <c r="AF71" s="173"/>
      <c r="AG71" s="173"/>
      <c r="AH71" s="173"/>
      <c r="AI71" s="173"/>
      <c r="AJ71" s="173"/>
      <c r="AK71" s="173"/>
      <c r="AL71" s="173"/>
      <c r="AM71" s="173"/>
      <c r="AN71" s="173"/>
      <c r="AO71" s="173"/>
      <c r="AP71" s="173"/>
      <c r="AQ71" s="173"/>
      <c r="AR71" s="173"/>
      <c r="AS71" s="173"/>
      <c r="AT71" s="173"/>
      <c r="AU71" s="173"/>
      <c r="AV71" s="173"/>
      <c r="AW71" s="173"/>
      <c r="AX71" s="173"/>
      <c r="AY71" s="173"/>
      <c r="AZ71" s="173"/>
      <c r="BA71" s="173"/>
      <c r="BB71" s="173"/>
      <c r="BC71" s="173"/>
      <c r="BD71" s="173"/>
      <c r="BE71" s="173"/>
      <c r="BF71" s="173"/>
      <c r="BG71" s="173"/>
      <c r="BH71" s="173"/>
      <c r="BI71" s="173"/>
      <c r="BJ71" s="173"/>
      <c r="BK71" s="173"/>
      <c r="BL71" s="173"/>
      <c r="BM71" s="173"/>
      <c r="BN71" s="173"/>
      <c r="BO71" s="173"/>
      <c r="BP71" s="173"/>
      <c r="BQ71" s="173"/>
      <c r="BR71" s="173"/>
    </row>
    <row r="72" spans="1:70">
      <c r="A72" s="173"/>
      <c r="B72" s="173"/>
      <c r="C72" s="60" t="s">
        <v>124</v>
      </c>
      <c r="D72" s="61" t="s">
        <v>97</v>
      </c>
      <c r="E72" s="173"/>
      <c r="F72" s="173"/>
      <c r="G72" s="173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173"/>
      <c r="AA72" s="173"/>
      <c r="AB72" s="173"/>
      <c r="AC72" s="173"/>
      <c r="AD72" s="173"/>
      <c r="AE72" s="173"/>
      <c r="AF72" s="173"/>
      <c r="AG72" s="173"/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3"/>
      <c r="AS72" s="173"/>
      <c r="AT72" s="173"/>
      <c r="AU72" s="173"/>
      <c r="AV72" s="173"/>
      <c r="AW72" s="173"/>
      <c r="AX72" s="173"/>
      <c r="AY72" s="173"/>
      <c r="AZ72" s="173"/>
      <c r="BA72" s="173"/>
      <c r="BB72" s="173"/>
      <c r="BC72" s="173"/>
      <c r="BD72" s="173"/>
      <c r="BE72" s="173"/>
      <c r="BF72" s="173"/>
      <c r="BG72" s="173"/>
      <c r="BH72" s="173"/>
      <c r="BI72" s="173"/>
      <c r="BJ72" s="173"/>
      <c r="BK72" s="173"/>
      <c r="BL72" s="173"/>
      <c r="BM72" s="173"/>
      <c r="BN72" s="173"/>
      <c r="BO72" s="173"/>
      <c r="BP72" s="173"/>
      <c r="BQ72" s="173"/>
      <c r="BR72" s="173"/>
    </row>
    <row r="73" spans="1:70" ht="63">
      <c r="A73" s="173"/>
      <c r="B73" s="173"/>
      <c r="C73" s="62"/>
      <c r="D73" s="288" t="s">
        <v>326</v>
      </c>
      <c r="E73" s="173"/>
      <c r="F73" s="173"/>
      <c r="G73" s="44">
        <f>H73+M73+N73+O73+P73</f>
        <v>1</v>
      </c>
      <c r="H73" s="44">
        <f>SUM(I73:L73)</f>
        <v>1</v>
      </c>
      <c r="I73" s="27"/>
      <c r="J73" s="27"/>
      <c r="K73" s="27">
        <v>1</v>
      </c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1">
        <f t="shared" ref="X73" si="203">Y73+AN73+AQ73+AT73+AW73</f>
        <v>3.7824899999999999E-4</v>
      </c>
      <c r="Y73" s="272">
        <f t="shared" ref="Y73" si="204">AB73+AE73+AH73+AK73</f>
        <v>3.7824899999999999E-4</v>
      </c>
      <c r="Z73" s="27"/>
      <c r="AA73" s="27"/>
      <c r="AB73" s="27"/>
      <c r="AC73" s="27"/>
      <c r="AD73" s="27"/>
      <c r="AE73" s="27"/>
      <c r="AF73" s="27"/>
      <c r="AG73" s="27"/>
      <c r="AH73" s="80">
        <f>0.000378249</f>
        <v>3.7824899999999999E-4</v>
      </c>
      <c r="AI73" s="45">
        <f t="shared" ref="AI73" si="205">AH73*0.12*1000</f>
        <v>4.5389879999999994E-2</v>
      </c>
      <c r="AJ73" s="39">
        <f t="shared" ref="AJ73" si="206">AH73*$BU$7</f>
        <v>6.366403961312586E-4</v>
      </c>
      <c r="AK73" s="27"/>
      <c r="AL73" s="27"/>
      <c r="AM73" s="27"/>
      <c r="AN73" s="2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44">
        <f>SUM(BE73:BI73)</f>
        <v>0.03</v>
      </c>
      <c r="BE73" s="82">
        <f>0.03</f>
        <v>0.03</v>
      </c>
      <c r="BF73" s="27">
        <f>0</f>
        <v>0</v>
      </c>
      <c r="BG73" s="27">
        <f>0</f>
        <v>0</v>
      </c>
      <c r="BH73" s="27">
        <f>0</f>
        <v>0</v>
      </c>
      <c r="BI73" s="27">
        <f>0</f>
        <v>0</v>
      </c>
      <c r="BJ73" s="44">
        <f>SUM(BK73:BO73)</f>
        <v>0</v>
      </c>
      <c r="BK73" s="27"/>
      <c r="BL73" s="27"/>
      <c r="BM73" s="27"/>
      <c r="BN73" s="27"/>
      <c r="BO73" s="27"/>
      <c r="BP73" s="173"/>
      <c r="BQ73" s="173"/>
      <c r="BR73" s="173"/>
    </row>
    <row r="74" spans="1:70" hidden="1">
      <c r="A74" s="173"/>
      <c r="B74" s="173"/>
      <c r="C74" s="62"/>
      <c r="D74" s="187"/>
      <c r="E74" s="173"/>
      <c r="F74" s="173"/>
      <c r="G74" s="44">
        <f t="shared" ref="G74:G75" si="207">H74+M74+N74+O74+P74</f>
        <v>0</v>
      </c>
      <c r="H74" s="44">
        <f t="shared" ref="H74:H75" si="208">SUM(I74:L74)</f>
        <v>0</v>
      </c>
      <c r="I74" s="28"/>
      <c r="J74" s="28"/>
      <c r="K74" s="28"/>
      <c r="L74" s="28"/>
      <c r="M74" s="28"/>
      <c r="N74" s="28"/>
      <c r="O74" s="28"/>
      <c r="P74" s="28"/>
      <c r="Q74" s="39"/>
      <c r="R74" s="39"/>
      <c r="S74" s="39"/>
      <c r="T74" s="39"/>
      <c r="U74" s="39"/>
      <c r="V74" s="39"/>
      <c r="W74" s="39"/>
      <c r="X74" s="44">
        <f t="shared" ref="X74:X75" si="209">Y74+AN74+AQ74+AT74+AW74</f>
        <v>0</v>
      </c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44">
        <f t="shared" ref="BD74:BD75" si="210">SUM(BE74:BI74)</f>
        <v>0</v>
      </c>
      <c r="BE74" s="39"/>
      <c r="BF74" s="39"/>
      <c r="BG74" s="39"/>
      <c r="BH74" s="39"/>
      <c r="BI74" s="39"/>
      <c r="BJ74" s="44">
        <f t="shared" ref="BJ74:BJ75" si="211">SUM(BK74:BO74)</f>
        <v>0</v>
      </c>
      <c r="BK74" s="39"/>
      <c r="BL74" s="39"/>
      <c r="BM74" s="39"/>
      <c r="BN74" s="39"/>
      <c r="BO74" s="39"/>
      <c r="BP74" s="173"/>
      <c r="BQ74" s="173"/>
      <c r="BR74" s="173"/>
    </row>
    <row r="75" spans="1:70" hidden="1">
      <c r="A75" s="173"/>
      <c r="B75" s="173"/>
      <c r="C75" s="62"/>
      <c r="D75" s="187"/>
      <c r="E75" s="173"/>
      <c r="F75" s="173"/>
      <c r="G75" s="44">
        <f t="shared" si="207"/>
        <v>0</v>
      </c>
      <c r="H75" s="44">
        <f t="shared" si="208"/>
        <v>0</v>
      </c>
      <c r="I75" s="28"/>
      <c r="J75" s="28"/>
      <c r="K75" s="28"/>
      <c r="L75" s="28"/>
      <c r="M75" s="28"/>
      <c r="N75" s="28"/>
      <c r="O75" s="28"/>
      <c r="P75" s="28"/>
      <c r="Q75" s="39"/>
      <c r="R75" s="39"/>
      <c r="S75" s="39"/>
      <c r="T75" s="39"/>
      <c r="U75" s="39"/>
      <c r="V75" s="39"/>
      <c r="W75" s="39"/>
      <c r="X75" s="44">
        <f t="shared" si="209"/>
        <v>0</v>
      </c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44">
        <f t="shared" si="210"/>
        <v>0</v>
      </c>
      <c r="BE75" s="39"/>
      <c r="BF75" s="39"/>
      <c r="BG75" s="39"/>
      <c r="BH75" s="39"/>
      <c r="BI75" s="39"/>
      <c r="BJ75" s="44">
        <f t="shared" si="211"/>
        <v>0</v>
      </c>
      <c r="BK75" s="39"/>
      <c r="BL75" s="39"/>
      <c r="BM75" s="39"/>
      <c r="BN75" s="39"/>
      <c r="BO75" s="39"/>
      <c r="BP75" s="173"/>
      <c r="BQ75" s="173"/>
      <c r="BR75" s="173"/>
    </row>
    <row r="76" spans="1:70">
      <c r="A76" s="173"/>
      <c r="B76" s="173"/>
      <c r="C76" s="62"/>
      <c r="D76" s="64" t="s">
        <v>98</v>
      </c>
      <c r="E76" s="173"/>
      <c r="F76" s="173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27"/>
      <c r="X76" s="271">
        <f>X73</f>
        <v>3.7824899999999999E-4</v>
      </c>
      <c r="Y76" s="56"/>
      <c r="Z76" s="44">
        <f t="shared" ref="Z76:AY76" si="212">SUM(Z72:Z75)</f>
        <v>0</v>
      </c>
      <c r="AA76" s="44">
        <f t="shared" si="212"/>
        <v>0</v>
      </c>
      <c r="AB76" s="44">
        <f t="shared" si="212"/>
        <v>0</v>
      </c>
      <c r="AC76" s="44">
        <f t="shared" si="212"/>
        <v>0</v>
      </c>
      <c r="AD76" s="44">
        <f t="shared" si="212"/>
        <v>0</v>
      </c>
      <c r="AE76" s="44">
        <f t="shared" si="212"/>
        <v>0</v>
      </c>
      <c r="AF76" s="44">
        <f t="shared" si="212"/>
        <v>0</v>
      </c>
      <c r="AG76" s="44">
        <f t="shared" si="212"/>
        <v>0</v>
      </c>
      <c r="AH76" s="44">
        <f t="shared" si="212"/>
        <v>3.7824899999999999E-4</v>
      </c>
      <c r="AI76" s="44">
        <f t="shared" si="212"/>
        <v>4.5389879999999994E-2</v>
      </c>
      <c r="AJ76" s="44">
        <f t="shared" si="212"/>
        <v>6.366403961312586E-4</v>
      </c>
      <c r="AK76" s="44">
        <f t="shared" si="212"/>
        <v>0</v>
      </c>
      <c r="AL76" s="44">
        <f t="shared" si="212"/>
        <v>0</v>
      </c>
      <c r="AM76" s="44">
        <f t="shared" si="212"/>
        <v>0</v>
      </c>
      <c r="AN76" s="44">
        <f t="shared" si="212"/>
        <v>0</v>
      </c>
      <c r="AO76" s="44">
        <f t="shared" si="212"/>
        <v>0</v>
      </c>
      <c r="AP76" s="44">
        <f t="shared" si="212"/>
        <v>0</v>
      </c>
      <c r="AQ76" s="44">
        <f t="shared" si="212"/>
        <v>0</v>
      </c>
      <c r="AR76" s="44">
        <f t="shared" si="212"/>
        <v>0</v>
      </c>
      <c r="AS76" s="44">
        <f t="shared" si="212"/>
        <v>0</v>
      </c>
      <c r="AT76" s="44">
        <f t="shared" si="212"/>
        <v>0</v>
      </c>
      <c r="AU76" s="44">
        <f t="shared" si="212"/>
        <v>0</v>
      </c>
      <c r="AV76" s="44">
        <f t="shared" si="212"/>
        <v>0</v>
      </c>
      <c r="AW76" s="44">
        <f t="shared" si="212"/>
        <v>0</v>
      </c>
      <c r="AX76" s="44">
        <f t="shared" si="212"/>
        <v>0</v>
      </c>
      <c r="AY76" s="44">
        <f t="shared" si="212"/>
        <v>0</v>
      </c>
      <c r="AZ76" s="27"/>
      <c r="BA76" s="27"/>
      <c r="BB76" s="27"/>
      <c r="BC76" s="27"/>
      <c r="BD76" s="44">
        <f t="shared" ref="BD76:BO76" si="213">SUM(BD72:BD75)</f>
        <v>0.03</v>
      </c>
      <c r="BE76" s="44">
        <f t="shared" si="213"/>
        <v>0.03</v>
      </c>
      <c r="BF76" s="44">
        <f t="shared" si="213"/>
        <v>0</v>
      </c>
      <c r="BG76" s="44">
        <f t="shared" si="213"/>
        <v>0</v>
      </c>
      <c r="BH76" s="44">
        <f t="shared" si="213"/>
        <v>0</v>
      </c>
      <c r="BI76" s="44">
        <f t="shared" si="213"/>
        <v>0</v>
      </c>
      <c r="BJ76" s="44">
        <f t="shared" si="213"/>
        <v>0</v>
      </c>
      <c r="BK76" s="44">
        <f t="shared" si="213"/>
        <v>0</v>
      </c>
      <c r="BL76" s="44">
        <f t="shared" si="213"/>
        <v>0</v>
      </c>
      <c r="BM76" s="44">
        <f t="shared" si="213"/>
        <v>0</v>
      </c>
      <c r="BN76" s="44">
        <f t="shared" si="213"/>
        <v>0</v>
      </c>
      <c r="BO76" s="44">
        <f t="shared" si="213"/>
        <v>0</v>
      </c>
      <c r="BP76" s="173"/>
      <c r="BQ76" s="173"/>
      <c r="BR76" s="173"/>
    </row>
    <row r="77" spans="1:70" ht="37.5" hidden="1">
      <c r="A77" s="173"/>
      <c r="B77" s="173"/>
      <c r="C77" s="60" t="s">
        <v>125</v>
      </c>
      <c r="D77" s="61" t="s">
        <v>263</v>
      </c>
      <c r="E77" s="173"/>
      <c r="F77" s="173"/>
      <c r="G77" s="173"/>
      <c r="H77" s="173"/>
      <c r="I77" s="173"/>
      <c r="J77" s="173"/>
      <c r="K77" s="173"/>
      <c r="L77" s="173"/>
      <c r="M77" s="173"/>
      <c r="N77" s="173"/>
      <c r="O77" s="173"/>
      <c r="P77" s="173"/>
      <c r="Q77" s="173"/>
      <c r="R77" s="173"/>
      <c r="S77" s="173"/>
      <c r="T77" s="173"/>
      <c r="U77" s="173"/>
      <c r="V77" s="173"/>
      <c r="W77" s="173"/>
      <c r="X77" s="173"/>
      <c r="Y77" s="173"/>
      <c r="Z77" s="173"/>
      <c r="AA77" s="173"/>
      <c r="AB77" s="173"/>
      <c r="AC77" s="173"/>
      <c r="AD77" s="173"/>
      <c r="AE77" s="173"/>
      <c r="AF77" s="173"/>
      <c r="AG77" s="173"/>
      <c r="AH77" s="173"/>
      <c r="AI77" s="173"/>
      <c r="AJ77" s="173"/>
      <c r="AK77" s="173"/>
      <c r="AL77" s="173"/>
      <c r="AM77" s="173"/>
      <c r="AN77" s="173"/>
      <c r="AO77" s="173"/>
      <c r="AP77" s="173"/>
      <c r="AQ77" s="173"/>
      <c r="AR77" s="173"/>
      <c r="AS77" s="173"/>
      <c r="AT77" s="173"/>
      <c r="AU77" s="173"/>
      <c r="AV77" s="173"/>
      <c r="AW77" s="173"/>
      <c r="AX77" s="173"/>
      <c r="AY77" s="173"/>
      <c r="AZ77" s="173"/>
      <c r="BA77" s="173"/>
      <c r="BB77" s="173"/>
      <c r="BC77" s="173"/>
      <c r="BD77" s="39"/>
      <c r="BE77" s="39"/>
      <c r="BF77" s="39"/>
      <c r="BG77" s="39"/>
      <c r="BH77" s="39"/>
      <c r="BI77" s="39"/>
      <c r="BJ77" s="173"/>
      <c r="BK77" s="173"/>
      <c r="BL77" s="173"/>
      <c r="BM77" s="173"/>
      <c r="BN77" s="173"/>
      <c r="BO77" s="173"/>
      <c r="BP77" s="173"/>
      <c r="BQ77" s="173"/>
      <c r="BR77" s="173"/>
    </row>
    <row r="78" spans="1:70" hidden="1">
      <c r="A78" s="173"/>
      <c r="B78" s="173"/>
      <c r="C78" s="62"/>
      <c r="D78" s="187"/>
      <c r="E78" s="173"/>
      <c r="F78" s="173"/>
      <c r="G78" s="44">
        <f>H78+M78+N78+O78+P78</f>
        <v>0</v>
      </c>
      <c r="H78" s="44">
        <f>SUM(I78:L78)</f>
        <v>0</v>
      </c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44">
        <f>Y78+AN78+AQ78+AT78+AW78</f>
        <v>0</v>
      </c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44">
        <f>SUM(BE78:BI78)</f>
        <v>0</v>
      </c>
      <c r="BE78" s="27"/>
      <c r="BF78" s="27"/>
      <c r="BG78" s="27"/>
      <c r="BH78" s="27"/>
      <c r="BI78" s="27"/>
      <c r="BJ78" s="44">
        <f>SUM(BK78:BO78)</f>
        <v>0</v>
      </c>
      <c r="BK78" s="27"/>
      <c r="BL78" s="27"/>
      <c r="BM78" s="27"/>
      <c r="BN78" s="27"/>
      <c r="BO78" s="27"/>
      <c r="BP78" s="173"/>
      <c r="BQ78" s="173"/>
      <c r="BR78" s="173"/>
    </row>
    <row r="79" spans="1:70" hidden="1">
      <c r="A79" s="173"/>
      <c r="B79" s="173"/>
      <c r="C79" s="62"/>
      <c r="D79" s="187"/>
      <c r="E79" s="173"/>
      <c r="F79" s="173"/>
      <c r="G79" s="44">
        <f t="shared" ref="G79:G80" si="214">H79+M79+N79+O79+P79</f>
        <v>0</v>
      </c>
      <c r="H79" s="44">
        <f t="shared" ref="H79:H80" si="215">SUM(I79:L79)</f>
        <v>0</v>
      </c>
      <c r="I79" s="28"/>
      <c r="J79" s="28"/>
      <c r="K79" s="28"/>
      <c r="L79" s="28"/>
      <c r="M79" s="28"/>
      <c r="N79" s="28"/>
      <c r="O79" s="28"/>
      <c r="P79" s="28"/>
      <c r="Q79" s="39"/>
      <c r="R79" s="39"/>
      <c r="S79" s="39"/>
      <c r="T79" s="39"/>
      <c r="U79" s="39"/>
      <c r="V79" s="39"/>
      <c r="W79" s="39"/>
      <c r="X79" s="44">
        <f t="shared" ref="X79:X80" si="216">Y79+AN79+AQ79+AT79+AW79</f>
        <v>0</v>
      </c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44">
        <f t="shared" ref="BD79:BD80" si="217">SUM(BE79:BI79)</f>
        <v>0</v>
      </c>
      <c r="BE79" s="39"/>
      <c r="BF79" s="39"/>
      <c r="BG79" s="39"/>
      <c r="BH79" s="39"/>
      <c r="BI79" s="39"/>
      <c r="BJ79" s="44">
        <f t="shared" ref="BJ79:BJ80" si="218">SUM(BK79:BO79)</f>
        <v>0</v>
      </c>
      <c r="BK79" s="39"/>
      <c r="BL79" s="39"/>
      <c r="BM79" s="39"/>
      <c r="BN79" s="39"/>
      <c r="BO79" s="39"/>
      <c r="BP79" s="173"/>
      <c r="BQ79" s="173"/>
      <c r="BR79" s="173"/>
    </row>
    <row r="80" spans="1:70" hidden="1">
      <c r="A80" s="173"/>
      <c r="B80" s="173"/>
      <c r="C80" s="62"/>
      <c r="D80" s="187"/>
      <c r="E80" s="173"/>
      <c r="F80" s="173"/>
      <c r="G80" s="44">
        <f t="shared" si="214"/>
        <v>0</v>
      </c>
      <c r="H80" s="44">
        <f t="shared" si="215"/>
        <v>0</v>
      </c>
      <c r="I80" s="28"/>
      <c r="J80" s="28"/>
      <c r="K80" s="28"/>
      <c r="L80" s="28"/>
      <c r="M80" s="28"/>
      <c r="N80" s="28"/>
      <c r="O80" s="28"/>
      <c r="P80" s="28"/>
      <c r="Q80" s="39"/>
      <c r="R80" s="39"/>
      <c r="S80" s="39"/>
      <c r="T80" s="39"/>
      <c r="U80" s="39"/>
      <c r="V80" s="39"/>
      <c r="W80" s="39"/>
      <c r="X80" s="44">
        <f t="shared" si="216"/>
        <v>0</v>
      </c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  <c r="BD80" s="44">
        <f t="shared" si="217"/>
        <v>0</v>
      </c>
      <c r="BE80" s="39"/>
      <c r="BF80" s="39"/>
      <c r="BG80" s="39"/>
      <c r="BH80" s="39"/>
      <c r="BI80" s="39"/>
      <c r="BJ80" s="44">
        <f t="shared" si="218"/>
        <v>0</v>
      </c>
      <c r="BK80" s="39"/>
      <c r="BL80" s="39"/>
      <c r="BM80" s="39"/>
      <c r="BN80" s="39"/>
      <c r="BO80" s="39"/>
      <c r="BP80" s="173"/>
      <c r="BQ80" s="173"/>
      <c r="BR80" s="173"/>
    </row>
    <row r="81" spans="1:70" hidden="1">
      <c r="A81" s="173"/>
      <c r="B81" s="173"/>
      <c r="C81" s="62"/>
      <c r="D81" s="64" t="s">
        <v>98</v>
      </c>
      <c r="E81" s="173"/>
      <c r="F81" s="173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27"/>
      <c r="X81" s="56"/>
      <c r="Y81" s="56"/>
      <c r="Z81" s="44">
        <f t="shared" ref="Z81:AY81" si="219">SUM(Z77:Z80)</f>
        <v>0</v>
      </c>
      <c r="AA81" s="44">
        <f t="shared" si="219"/>
        <v>0</v>
      </c>
      <c r="AB81" s="44">
        <f t="shared" si="219"/>
        <v>0</v>
      </c>
      <c r="AC81" s="44">
        <f t="shared" si="219"/>
        <v>0</v>
      </c>
      <c r="AD81" s="44">
        <f t="shared" si="219"/>
        <v>0</v>
      </c>
      <c r="AE81" s="44">
        <f t="shared" si="219"/>
        <v>0</v>
      </c>
      <c r="AF81" s="44">
        <f t="shared" si="219"/>
        <v>0</v>
      </c>
      <c r="AG81" s="44">
        <f t="shared" si="219"/>
        <v>0</v>
      </c>
      <c r="AH81" s="44">
        <f t="shared" si="219"/>
        <v>0</v>
      </c>
      <c r="AI81" s="44">
        <f t="shared" si="219"/>
        <v>0</v>
      </c>
      <c r="AJ81" s="44">
        <f t="shared" si="219"/>
        <v>0</v>
      </c>
      <c r="AK81" s="44">
        <f t="shared" si="219"/>
        <v>0</v>
      </c>
      <c r="AL81" s="44">
        <f t="shared" si="219"/>
        <v>0</v>
      </c>
      <c r="AM81" s="44">
        <f t="shared" si="219"/>
        <v>0</v>
      </c>
      <c r="AN81" s="44">
        <f t="shared" si="219"/>
        <v>0</v>
      </c>
      <c r="AO81" s="44">
        <f t="shared" si="219"/>
        <v>0</v>
      </c>
      <c r="AP81" s="44">
        <f t="shared" si="219"/>
        <v>0</v>
      </c>
      <c r="AQ81" s="44">
        <f t="shared" si="219"/>
        <v>0</v>
      </c>
      <c r="AR81" s="44">
        <f t="shared" si="219"/>
        <v>0</v>
      </c>
      <c r="AS81" s="44">
        <f t="shared" si="219"/>
        <v>0</v>
      </c>
      <c r="AT81" s="44">
        <f t="shared" si="219"/>
        <v>0</v>
      </c>
      <c r="AU81" s="44">
        <f t="shared" si="219"/>
        <v>0</v>
      </c>
      <c r="AV81" s="44">
        <f t="shared" si="219"/>
        <v>0</v>
      </c>
      <c r="AW81" s="44">
        <f t="shared" si="219"/>
        <v>0</v>
      </c>
      <c r="AX81" s="44">
        <f t="shared" si="219"/>
        <v>0</v>
      </c>
      <c r="AY81" s="44">
        <f t="shared" si="219"/>
        <v>0</v>
      </c>
      <c r="AZ81" s="27"/>
      <c r="BA81" s="27"/>
      <c r="BB81" s="27"/>
      <c r="BC81" s="27"/>
      <c r="BD81" s="44">
        <f t="shared" ref="BD81:BO81" si="220">SUM(BD77:BD80)</f>
        <v>0</v>
      </c>
      <c r="BE81" s="44">
        <f t="shared" si="220"/>
        <v>0</v>
      </c>
      <c r="BF81" s="44">
        <f t="shared" si="220"/>
        <v>0</v>
      </c>
      <c r="BG81" s="44">
        <f t="shared" si="220"/>
        <v>0</v>
      </c>
      <c r="BH81" s="44">
        <f t="shared" si="220"/>
        <v>0</v>
      </c>
      <c r="BI81" s="44">
        <f t="shared" si="220"/>
        <v>0</v>
      </c>
      <c r="BJ81" s="44">
        <f t="shared" si="220"/>
        <v>0</v>
      </c>
      <c r="BK81" s="44">
        <f t="shared" si="220"/>
        <v>0</v>
      </c>
      <c r="BL81" s="44">
        <f t="shared" si="220"/>
        <v>0</v>
      </c>
      <c r="BM81" s="44">
        <f t="shared" si="220"/>
        <v>0</v>
      </c>
      <c r="BN81" s="44">
        <f t="shared" si="220"/>
        <v>0</v>
      </c>
      <c r="BO81" s="44">
        <f t="shared" si="220"/>
        <v>0</v>
      </c>
      <c r="BP81" s="173"/>
      <c r="BQ81" s="173"/>
      <c r="BR81" s="173"/>
    </row>
    <row r="82" spans="1:70" ht="37.5" hidden="1">
      <c r="A82" s="173"/>
      <c r="B82" s="173"/>
      <c r="C82" s="60" t="s">
        <v>126</v>
      </c>
      <c r="D82" s="61" t="s">
        <v>264</v>
      </c>
      <c r="E82" s="173"/>
      <c r="F82" s="173"/>
      <c r="G82" s="173"/>
      <c r="H82" s="173"/>
      <c r="I82" s="173"/>
      <c r="J82" s="173"/>
      <c r="K82" s="173"/>
      <c r="L82" s="173"/>
      <c r="M82" s="173"/>
      <c r="N82" s="173"/>
      <c r="O82" s="173"/>
      <c r="P82" s="173"/>
      <c r="Q82" s="173"/>
      <c r="R82" s="173"/>
      <c r="S82" s="173"/>
      <c r="T82" s="173"/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  <c r="AF82" s="173"/>
      <c r="AG82" s="173"/>
      <c r="AH82" s="173"/>
      <c r="AI82" s="173"/>
      <c r="AJ82" s="173"/>
      <c r="AK82" s="173"/>
      <c r="AL82" s="173"/>
      <c r="AM82" s="173"/>
      <c r="AN82" s="173"/>
      <c r="AO82" s="173"/>
      <c r="AP82" s="173"/>
      <c r="AQ82" s="173"/>
      <c r="AR82" s="173"/>
      <c r="AS82" s="173"/>
      <c r="AT82" s="173"/>
      <c r="AU82" s="173"/>
      <c r="AV82" s="173"/>
      <c r="AW82" s="173"/>
      <c r="AX82" s="173"/>
      <c r="AY82" s="173"/>
      <c r="AZ82" s="173"/>
      <c r="BA82" s="173"/>
      <c r="BB82" s="173"/>
      <c r="BC82" s="173"/>
      <c r="BD82" s="173"/>
      <c r="BE82" s="173"/>
      <c r="BF82" s="173"/>
      <c r="BG82" s="173"/>
      <c r="BH82" s="173"/>
      <c r="BI82" s="173"/>
      <c r="BJ82" s="173"/>
      <c r="BK82" s="173"/>
      <c r="BL82" s="173"/>
      <c r="BM82" s="173"/>
      <c r="BN82" s="173"/>
      <c r="BO82" s="173"/>
      <c r="BP82" s="173"/>
      <c r="BQ82" s="173"/>
      <c r="BR82" s="173"/>
    </row>
    <row r="83" spans="1:70" hidden="1">
      <c r="A83" s="173"/>
      <c r="B83" s="173"/>
      <c r="C83" s="62"/>
      <c r="D83" s="64"/>
      <c r="E83" s="173"/>
      <c r="F83" s="173"/>
      <c r="G83" s="44">
        <f>H83+M83+N83+O83+P83</f>
        <v>0</v>
      </c>
      <c r="H83" s="44">
        <f>SUM(I83:L83)</f>
        <v>0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44">
        <f>Y83+AN83+AQ83+AT83+AW83</f>
        <v>0</v>
      </c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44">
        <f>SUM(BE83:BI83)</f>
        <v>0</v>
      </c>
      <c r="BE83" s="27"/>
      <c r="BF83" s="27"/>
      <c r="BG83" s="27"/>
      <c r="BH83" s="27"/>
      <c r="BI83" s="27"/>
      <c r="BJ83" s="44">
        <f>SUM(BK83:BO83)</f>
        <v>0</v>
      </c>
      <c r="BK83" s="27"/>
      <c r="BL83" s="27"/>
      <c r="BM83" s="27"/>
      <c r="BN83" s="27"/>
      <c r="BO83" s="27"/>
      <c r="BP83" s="173"/>
      <c r="BQ83" s="173"/>
      <c r="BR83" s="173"/>
    </row>
    <row r="84" spans="1:70" hidden="1">
      <c r="A84" s="173"/>
      <c r="B84" s="173"/>
      <c r="C84" s="62"/>
      <c r="D84" s="64"/>
      <c r="E84" s="173"/>
      <c r="F84" s="173"/>
      <c r="G84" s="44">
        <f t="shared" ref="G84:G85" si="221">H84+M84+N84+O84+P84</f>
        <v>0</v>
      </c>
      <c r="H84" s="44">
        <f t="shared" ref="H84:H85" si="222">SUM(I84:L84)</f>
        <v>0</v>
      </c>
      <c r="I84" s="28"/>
      <c r="J84" s="28"/>
      <c r="K84" s="28"/>
      <c r="L84" s="28"/>
      <c r="M84" s="28"/>
      <c r="N84" s="28"/>
      <c r="O84" s="28"/>
      <c r="P84" s="28"/>
      <c r="Q84" s="39"/>
      <c r="R84" s="39"/>
      <c r="S84" s="39"/>
      <c r="T84" s="39"/>
      <c r="U84" s="39"/>
      <c r="V84" s="39"/>
      <c r="W84" s="39"/>
      <c r="X84" s="44">
        <f t="shared" ref="X84:X85" si="223">Y84+AN84+AQ84+AT84+AW84</f>
        <v>0</v>
      </c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  <c r="AR84" s="39"/>
      <c r="AS84" s="39"/>
      <c r="AT84" s="39"/>
      <c r="AU84" s="39"/>
      <c r="AV84" s="39"/>
      <c r="AW84" s="39"/>
      <c r="AX84" s="39"/>
      <c r="AY84" s="39"/>
      <c r="AZ84" s="39"/>
      <c r="BA84" s="39"/>
      <c r="BB84" s="39"/>
      <c r="BC84" s="39"/>
      <c r="BD84" s="44">
        <f t="shared" ref="BD84:BD85" si="224">SUM(BE84:BI84)</f>
        <v>0</v>
      </c>
      <c r="BE84" s="39"/>
      <c r="BF84" s="39"/>
      <c r="BG84" s="39"/>
      <c r="BH84" s="39"/>
      <c r="BI84" s="39"/>
      <c r="BJ84" s="44">
        <f t="shared" ref="BJ84:BJ85" si="225">SUM(BK84:BO84)</f>
        <v>0</v>
      </c>
      <c r="BK84" s="39"/>
      <c r="BL84" s="39"/>
      <c r="BM84" s="39"/>
      <c r="BN84" s="39"/>
      <c r="BO84" s="39"/>
      <c r="BP84" s="173"/>
      <c r="BQ84" s="173"/>
      <c r="BR84" s="173"/>
    </row>
    <row r="85" spans="1:70" hidden="1">
      <c r="A85" s="173"/>
      <c r="B85" s="173"/>
      <c r="C85" s="62" t="s">
        <v>95</v>
      </c>
      <c r="D85" s="64"/>
      <c r="E85" s="173"/>
      <c r="F85" s="173"/>
      <c r="G85" s="44">
        <f t="shared" si="221"/>
        <v>0</v>
      </c>
      <c r="H85" s="44">
        <f t="shared" si="222"/>
        <v>0</v>
      </c>
      <c r="I85" s="28"/>
      <c r="J85" s="28"/>
      <c r="K85" s="28"/>
      <c r="L85" s="28"/>
      <c r="M85" s="28"/>
      <c r="N85" s="28"/>
      <c r="O85" s="28"/>
      <c r="P85" s="28"/>
      <c r="Q85" s="39"/>
      <c r="R85" s="39"/>
      <c r="S85" s="39"/>
      <c r="T85" s="39"/>
      <c r="U85" s="39"/>
      <c r="V85" s="39"/>
      <c r="W85" s="39"/>
      <c r="X85" s="44">
        <f t="shared" si="223"/>
        <v>0</v>
      </c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44">
        <f t="shared" si="224"/>
        <v>0</v>
      </c>
      <c r="BE85" s="39"/>
      <c r="BF85" s="39"/>
      <c r="BG85" s="39"/>
      <c r="BH85" s="39"/>
      <c r="BI85" s="39"/>
      <c r="BJ85" s="44">
        <f t="shared" si="225"/>
        <v>0</v>
      </c>
      <c r="BK85" s="39"/>
      <c r="BL85" s="39"/>
      <c r="BM85" s="39"/>
      <c r="BN85" s="39"/>
      <c r="BO85" s="39"/>
      <c r="BP85" s="173"/>
      <c r="BQ85" s="173"/>
      <c r="BR85" s="173"/>
    </row>
    <row r="86" spans="1:70" hidden="1">
      <c r="A86" s="173"/>
      <c r="B86" s="173"/>
      <c r="C86" s="62"/>
      <c r="D86" s="64" t="s">
        <v>98</v>
      </c>
      <c r="E86" s="173"/>
      <c r="F86" s="173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27"/>
      <c r="X86" s="56"/>
      <c r="Y86" s="56"/>
      <c r="Z86" s="44">
        <f t="shared" ref="Z86:AY86" si="226">SUM(Z82:Z85)</f>
        <v>0</v>
      </c>
      <c r="AA86" s="44">
        <f t="shared" si="226"/>
        <v>0</v>
      </c>
      <c r="AB86" s="44">
        <f t="shared" si="226"/>
        <v>0</v>
      </c>
      <c r="AC86" s="44">
        <f t="shared" si="226"/>
        <v>0</v>
      </c>
      <c r="AD86" s="44">
        <f t="shared" si="226"/>
        <v>0</v>
      </c>
      <c r="AE86" s="44">
        <f t="shared" si="226"/>
        <v>0</v>
      </c>
      <c r="AF86" s="44">
        <f t="shared" si="226"/>
        <v>0</v>
      </c>
      <c r="AG86" s="44">
        <f t="shared" si="226"/>
        <v>0</v>
      </c>
      <c r="AH86" s="44">
        <f t="shared" si="226"/>
        <v>0</v>
      </c>
      <c r="AI86" s="44">
        <f t="shared" si="226"/>
        <v>0</v>
      </c>
      <c r="AJ86" s="44">
        <f t="shared" si="226"/>
        <v>0</v>
      </c>
      <c r="AK86" s="44">
        <f t="shared" si="226"/>
        <v>0</v>
      </c>
      <c r="AL86" s="44">
        <f t="shared" si="226"/>
        <v>0</v>
      </c>
      <c r="AM86" s="44">
        <f t="shared" si="226"/>
        <v>0</v>
      </c>
      <c r="AN86" s="44">
        <f t="shared" si="226"/>
        <v>0</v>
      </c>
      <c r="AO86" s="44">
        <f t="shared" si="226"/>
        <v>0</v>
      </c>
      <c r="AP86" s="44">
        <f t="shared" si="226"/>
        <v>0</v>
      </c>
      <c r="AQ86" s="44">
        <f t="shared" si="226"/>
        <v>0</v>
      </c>
      <c r="AR86" s="44">
        <f t="shared" si="226"/>
        <v>0</v>
      </c>
      <c r="AS86" s="44">
        <f t="shared" si="226"/>
        <v>0</v>
      </c>
      <c r="AT86" s="44">
        <f t="shared" si="226"/>
        <v>0</v>
      </c>
      <c r="AU86" s="44">
        <f t="shared" si="226"/>
        <v>0</v>
      </c>
      <c r="AV86" s="44">
        <f t="shared" si="226"/>
        <v>0</v>
      </c>
      <c r="AW86" s="44">
        <f t="shared" si="226"/>
        <v>0</v>
      </c>
      <c r="AX86" s="44">
        <f t="shared" si="226"/>
        <v>0</v>
      </c>
      <c r="AY86" s="44">
        <f t="shared" si="226"/>
        <v>0</v>
      </c>
      <c r="AZ86" s="27"/>
      <c r="BA86" s="27"/>
      <c r="BB86" s="27"/>
      <c r="BC86" s="27"/>
      <c r="BD86" s="44">
        <f t="shared" ref="BD86:BO86" si="227">SUM(BD82:BD85)</f>
        <v>0</v>
      </c>
      <c r="BE86" s="44">
        <f t="shared" si="227"/>
        <v>0</v>
      </c>
      <c r="BF86" s="44">
        <f t="shared" si="227"/>
        <v>0</v>
      </c>
      <c r="BG86" s="44">
        <f t="shared" si="227"/>
        <v>0</v>
      </c>
      <c r="BH86" s="44">
        <f t="shared" si="227"/>
        <v>0</v>
      </c>
      <c r="BI86" s="44">
        <f t="shared" si="227"/>
        <v>0</v>
      </c>
      <c r="BJ86" s="44">
        <f t="shared" si="227"/>
        <v>0</v>
      </c>
      <c r="BK86" s="44">
        <f t="shared" si="227"/>
        <v>0</v>
      </c>
      <c r="BL86" s="44">
        <f t="shared" si="227"/>
        <v>0</v>
      </c>
      <c r="BM86" s="44">
        <f t="shared" si="227"/>
        <v>0</v>
      </c>
      <c r="BN86" s="44">
        <f t="shared" si="227"/>
        <v>0</v>
      </c>
      <c r="BO86" s="44">
        <f t="shared" si="227"/>
        <v>0</v>
      </c>
      <c r="BP86" s="173"/>
      <c r="BQ86" s="173"/>
      <c r="BR86" s="173"/>
    </row>
    <row r="87" spans="1:70" hidden="1">
      <c r="A87" s="173"/>
      <c r="B87" s="173"/>
      <c r="C87" s="60" t="s">
        <v>127</v>
      </c>
      <c r="D87" s="61" t="s">
        <v>206</v>
      </c>
      <c r="E87" s="173"/>
      <c r="F87" s="173"/>
      <c r="G87" s="173"/>
      <c r="H87" s="173"/>
      <c r="I87" s="173"/>
      <c r="J87" s="173"/>
      <c r="K87" s="173"/>
      <c r="L87" s="173"/>
      <c r="M87" s="173"/>
      <c r="N87" s="173"/>
      <c r="O87" s="173"/>
      <c r="P87" s="173"/>
      <c r="Q87" s="173"/>
      <c r="R87" s="173"/>
      <c r="S87" s="173"/>
      <c r="T87" s="173"/>
      <c r="U87" s="173"/>
      <c r="V87" s="173"/>
      <c r="W87" s="173"/>
      <c r="X87" s="173"/>
      <c r="Y87" s="173"/>
      <c r="Z87" s="173"/>
      <c r="AA87" s="173"/>
      <c r="AB87" s="173"/>
      <c r="AC87" s="173"/>
      <c r="AD87" s="173"/>
      <c r="AE87" s="173"/>
      <c r="AF87" s="173"/>
      <c r="AG87" s="173"/>
      <c r="AH87" s="173"/>
      <c r="AI87" s="173"/>
      <c r="AJ87" s="173"/>
      <c r="AK87" s="173"/>
      <c r="AL87" s="173"/>
      <c r="AM87" s="173"/>
      <c r="AN87" s="173"/>
      <c r="AO87" s="173"/>
      <c r="AP87" s="173"/>
      <c r="AQ87" s="173"/>
      <c r="AR87" s="173"/>
      <c r="AS87" s="173"/>
      <c r="AT87" s="173"/>
      <c r="AU87" s="173"/>
      <c r="AV87" s="173"/>
      <c r="AW87" s="173"/>
      <c r="AX87" s="173"/>
      <c r="AY87" s="173"/>
      <c r="AZ87" s="173"/>
      <c r="BA87" s="173"/>
      <c r="BB87" s="173"/>
      <c r="BC87" s="173"/>
      <c r="BD87" s="173"/>
      <c r="BE87" s="173"/>
      <c r="BF87" s="173"/>
      <c r="BG87" s="173"/>
      <c r="BH87" s="173"/>
      <c r="BI87" s="173"/>
      <c r="BJ87" s="173"/>
      <c r="BK87" s="173"/>
      <c r="BL87" s="173"/>
      <c r="BM87" s="173"/>
      <c r="BN87" s="173"/>
      <c r="BO87" s="173"/>
      <c r="BP87" s="173"/>
      <c r="BQ87" s="173"/>
      <c r="BR87" s="173"/>
    </row>
    <row r="88" spans="1:70" hidden="1">
      <c r="A88" s="173"/>
      <c r="B88" s="173"/>
      <c r="C88" s="62"/>
      <c r="D88" s="64"/>
      <c r="E88" s="173"/>
      <c r="F88" s="173"/>
      <c r="G88" s="44">
        <f>H88+M88+N88+O88+P88</f>
        <v>0</v>
      </c>
      <c r="H88" s="44">
        <f>SUM(I88:L88)</f>
        <v>0</v>
      </c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44">
        <f>Y88+AN88+AQ88+AT88+AW88</f>
        <v>0</v>
      </c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  <c r="BD88" s="44">
        <f>SUM(BE88:BI88)</f>
        <v>0</v>
      </c>
      <c r="BE88" s="27"/>
      <c r="BF88" s="27"/>
      <c r="BG88" s="27"/>
      <c r="BH88" s="27"/>
      <c r="BI88" s="27"/>
      <c r="BJ88" s="44">
        <f>SUM(BK88:BO88)</f>
        <v>0</v>
      </c>
      <c r="BK88" s="27"/>
      <c r="BL88" s="27"/>
      <c r="BM88" s="27"/>
      <c r="BN88" s="27"/>
      <c r="BO88" s="27"/>
      <c r="BP88" s="173"/>
      <c r="BQ88" s="173"/>
      <c r="BR88" s="173"/>
    </row>
    <row r="89" spans="1:70" hidden="1">
      <c r="A89" s="173"/>
      <c r="B89" s="173"/>
      <c r="C89" s="62"/>
      <c r="D89" s="64"/>
      <c r="E89" s="173"/>
      <c r="F89" s="173"/>
      <c r="G89" s="44">
        <f t="shared" ref="G89:G90" si="228">H89+M89+N89+O89+P89</f>
        <v>0</v>
      </c>
      <c r="H89" s="44">
        <f t="shared" ref="H89:H90" si="229">SUM(I89:L89)</f>
        <v>0</v>
      </c>
      <c r="I89" s="28"/>
      <c r="J89" s="28"/>
      <c r="K89" s="28"/>
      <c r="L89" s="28"/>
      <c r="M89" s="28"/>
      <c r="N89" s="28"/>
      <c r="O89" s="28"/>
      <c r="P89" s="28"/>
      <c r="Q89" s="39"/>
      <c r="R89" s="39"/>
      <c r="S89" s="39"/>
      <c r="T89" s="39"/>
      <c r="U89" s="39"/>
      <c r="V89" s="39"/>
      <c r="W89" s="39"/>
      <c r="X89" s="44">
        <f t="shared" ref="X89:X90" si="230">Y89+AN89+AQ89+AT89+AW89</f>
        <v>0</v>
      </c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  <c r="BD89" s="44">
        <f t="shared" ref="BD89:BD90" si="231">SUM(BE89:BI89)</f>
        <v>0</v>
      </c>
      <c r="BE89" s="39"/>
      <c r="BF89" s="39"/>
      <c r="BG89" s="39"/>
      <c r="BH89" s="39"/>
      <c r="BI89" s="39"/>
      <c r="BJ89" s="44">
        <f t="shared" ref="BJ89:BJ90" si="232">SUM(BK89:BO89)</f>
        <v>0</v>
      </c>
      <c r="BK89" s="39"/>
      <c r="BL89" s="39"/>
      <c r="BM89" s="39"/>
      <c r="BN89" s="39"/>
      <c r="BO89" s="39"/>
      <c r="BP89" s="173"/>
      <c r="BQ89" s="173"/>
      <c r="BR89" s="173"/>
    </row>
    <row r="90" spans="1:70" hidden="1">
      <c r="A90" s="173"/>
      <c r="B90" s="173"/>
      <c r="C90" s="62" t="s">
        <v>95</v>
      </c>
      <c r="D90" s="64"/>
      <c r="E90" s="173"/>
      <c r="F90" s="173"/>
      <c r="G90" s="44">
        <f t="shared" si="228"/>
        <v>0</v>
      </c>
      <c r="H90" s="44">
        <f t="shared" si="229"/>
        <v>0</v>
      </c>
      <c r="I90" s="28"/>
      <c r="J90" s="28"/>
      <c r="K90" s="28"/>
      <c r="L90" s="28"/>
      <c r="M90" s="28"/>
      <c r="N90" s="28"/>
      <c r="O90" s="28"/>
      <c r="P90" s="28"/>
      <c r="Q90" s="39"/>
      <c r="R90" s="39"/>
      <c r="S90" s="39"/>
      <c r="T90" s="39"/>
      <c r="U90" s="39"/>
      <c r="V90" s="39"/>
      <c r="W90" s="39"/>
      <c r="X90" s="44">
        <f t="shared" si="230"/>
        <v>0</v>
      </c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44">
        <f t="shared" si="231"/>
        <v>0</v>
      </c>
      <c r="BE90" s="39"/>
      <c r="BF90" s="39"/>
      <c r="BG90" s="39"/>
      <c r="BH90" s="39"/>
      <c r="BI90" s="39"/>
      <c r="BJ90" s="44">
        <f t="shared" si="232"/>
        <v>0</v>
      </c>
      <c r="BK90" s="39"/>
      <c r="BL90" s="39"/>
      <c r="BM90" s="39"/>
      <c r="BN90" s="39"/>
      <c r="BO90" s="39"/>
      <c r="BP90" s="173"/>
      <c r="BQ90" s="173"/>
      <c r="BR90" s="173"/>
    </row>
    <row r="91" spans="1:70" hidden="1">
      <c r="A91" s="173"/>
      <c r="B91" s="173"/>
      <c r="C91" s="62"/>
      <c r="D91" s="64" t="s">
        <v>98</v>
      </c>
      <c r="E91" s="173"/>
      <c r="F91" s="173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27"/>
      <c r="X91" s="56"/>
      <c r="Y91" s="56"/>
      <c r="Z91" s="44">
        <f t="shared" ref="Z91:AY91" si="233">SUM(Z87:Z90)</f>
        <v>0</v>
      </c>
      <c r="AA91" s="44">
        <f t="shared" si="233"/>
        <v>0</v>
      </c>
      <c r="AB91" s="44">
        <f t="shared" si="233"/>
        <v>0</v>
      </c>
      <c r="AC91" s="44">
        <f t="shared" si="233"/>
        <v>0</v>
      </c>
      <c r="AD91" s="44">
        <f t="shared" si="233"/>
        <v>0</v>
      </c>
      <c r="AE91" s="44">
        <f t="shared" si="233"/>
        <v>0</v>
      </c>
      <c r="AF91" s="44">
        <f t="shared" si="233"/>
        <v>0</v>
      </c>
      <c r="AG91" s="44">
        <f t="shared" si="233"/>
        <v>0</v>
      </c>
      <c r="AH91" s="44">
        <f t="shared" si="233"/>
        <v>0</v>
      </c>
      <c r="AI91" s="44">
        <f t="shared" si="233"/>
        <v>0</v>
      </c>
      <c r="AJ91" s="44">
        <f t="shared" si="233"/>
        <v>0</v>
      </c>
      <c r="AK91" s="44">
        <f t="shared" si="233"/>
        <v>0</v>
      </c>
      <c r="AL91" s="44">
        <f t="shared" si="233"/>
        <v>0</v>
      </c>
      <c r="AM91" s="44">
        <f t="shared" si="233"/>
        <v>0</v>
      </c>
      <c r="AN91" s="44">
        <f t="shared" si="233"/>
        <v>0</v>
      </c>
      <c r="AO91" s="44">
        <f t="shared" si="233"/>
        <v>0</v>
      </c>
      <c r="AP91" s="44">
        <f t="shared" si="233"/>
        <v>0</v>
      </c>
      <c r="AQ91" s="44">
        <f t="shared" si="233"/>
        <v>0</v>
      </c>
      <c r="AR91" s="44">
        <f t="shared" si="233"/>
        <v>0</v>
      </c>
      <c r="AS91" s="44">
        <f t="shared" si="233"/>
        <v>0</v>
      </c>
      <c r="AT91" s="44">
        <f t="shared" si="233"/>
        <v>0</v>
      </c>
      <c r="AU91" s="44">
        <f t="shared" si="233"/>
        <v>0</v>
      </c>
      <c r="AV91" s="44">
        <f t="shared" si="233"/>
        <v>0</v>
      </c>
      <c r="AW91" s="44">
        <f t="shared" si="233"/>
        <v>0</v>
      </c>
      <c r="AX91" s="44">
        <f t="shared" si="233"/>
        <v>0</v>
      </c>
      <c r="AY91" s="44">
        <f t="shared" si="233"/>
        <v>0</v>
      </c>
      <c r="AZ91" s="27"/>
      <c r="BA91" s="27"/>
      <c r="BB91" s="27"/>
      <c r="BC91" s="27"/>
      <c r="BD91" s="44">
        <f t="shared" ref="BD91:BO91" si="234">SUM(BD87:BD90)</f>
        <v>0</v>
      </c>
      <c r="BE91" s="44">
        <f t="shared" si="234"/>
        <v>0</v>
      </c>
      <c r="BF91" s="44">
        <f t="shared" si="234"/>
        <v>0</v>
      </c>
      <c r="BG91" s="44">
        <f t="shared" si="234"/>
        <v>0</v>
      </c>
      <c r="BH91" s="44">
        <f t="shared" si="234"/>
        <v>0</v>
      </c>
      <c r="BI91" s="44">
        <f t="shared" si="234"/>
        <v>0</v>
      </c>
      <c r="BJ91" s="44">
        <f t="shared" si="234"/>
        <v>0</v>
      </c>
      <c r="BK91" s="44">
        <f t="shared" si="234"/>
        <v>0</v>
      </c>
      <c r="BL91" s="44">
        <f t="shared" si="234"/>
        <v>0</v>
      </c>
      <c r="BM91" s="44">
        <f t="shared" si="234"/>
        <v>0</v>
      </c>
      <c r="BN91" s="44">
        <f t="shared" si="234"/>
        <v>0</v>
      </c>
      <c r="BO91" s="44">
        <f t="shared" si="234"/>
        <v>0</v>
      </c>
      <c r="BP91" s="173"/>
      <c r="BQ91" s="173"/>
      <c r="BR91" s="173"/>
    </row>
    <row r="92" spans="1:70" hidden="1">
      <c r="A92" s="173"/>
      <c r="B92" s="173"/>
      <c r="C92" s="60" t="s">
        <v>128</v>
      </c>
      <c r="D92" s="61" t="s">
        <v>54</v>
      </c>
      <c r="E92" s="173"/>
      <c r="F92" s="173"/>
      <c r="G92" s="173"/>
      <c r="H92" s="173"/>
      <c r="I92" s="173"/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3"/>
      <c r="AH92" s="173"/>
      <c r="AI92" s="173"/>
      <c r="AJ92" s="173"/>
      <c r="AK92" s="173"/>
      <c r="AL92" s="173"/>
      <c r="AM92" s="173"/>
      <c r="AN92" s="173"/>
      <c r="AO92" s="173"/>
      <c r="AP92" s="173"/>
      <c r="AQ92" s="173"/>
      <c r="AR92" s="173"/>
      <c r="AS92" s="173"/>
      <c r="AT92" s="173"/>
      <c r="AU92" s="173"/>
      <c r="AV92" s="173"/>
      <c r="AW92" s="173"/>
      <c r="AX92" s="173"/>
      <c r="AY92" s="173"/>
      <c r="AZ92" s="173"/>
      <c r="BA92" s="173"/>
      <c r="BB92" s="173"/>
      <c r="BC92" s="173"/>
      <c r="BD92" s="173"/>
      <c r="BE92" s="173"/>
      <c r="BF92" s="173"/>
      <c r="BG92" s="173"/>
      <c r="BH92" s="173"/>
      <c r="BI92" s="173"/>
      <c r="BJ92" s="173"/>
      <c r="BK92" s="173"/>
      <c r="BL92" s="173"/>
      <c r="BM92" s="173"/>
      <c r="BN92" s="173"/>
      <c r="BO92" s="173"/>
      <c r="BP92" s="173"/>
      <c r="BQ92" s="173"/>
      <c r="BR92" s="173"/>
    </row>
    <row r="93" spans="1:70" hidden="1">
      <c r="A93" s="173"/>
      <c r="B93" s="173"/>
      <c r="C93" s="62"/>
      <c r="D93" s="64"/>
      <c r="E93" s="173"/>
      <c r="F93" s="173"/>
      <c r="G93" s="44">
        <f>H93+M93+N93+O93+P93</f>
        <v>0</v>
      </c>
      <c r="H93" s="44">
        <f>SUM(I93:L93)</f>
        <v>0</v>
      </c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44">
        <f>Y93+AN93+AQ93+AT93+AW93</f>
        <v>0</v>
      </c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44">
        <f>SUM(BE93:BI93)</f>
        <v>0</v>
      </c>
      <c r="BE93" s="27"/>
      <c r="BF93" s="27"/>
      <c r="BG93" s="27"/>
      <c r="BH93" s="27"/>
      <c r="BI93" s="27"/>
      <c r="BJ93" s="44">
        <f>SUM(BK93:BO93)</f>
        <v>0</v>
      </c>
      <c r="BK93" s="27"/>
      <c r="BL93" s="27"/>
      <c r="BM93" s="27"/>
      <c r="BN93" s="27"/>
      <c r="BO93" s="27"/>
      <c r="BP93" s="173"/>
      <c r="BQ93" s="173"/>
      <c r="BR93" s="173"/>
    </row>
    <row r="94" spans="1:70" hidden="1">
      <c r="A94" s="173"/>
      <c r="B94" s="173"/>
      <c r="C94" s="62"/>
      <c r="D94" s="64"/>
      <c r="E94" s="173"/>
      <c r="F94" s="173"/>
      <c r="G94" s="44">
        <f t="shared" ref="G94:G95" si="235">H94+M94+N94+O94+P94</f>
        <v>0</v>
      </c>
      <c r="H94" s="44">
        <f t="shared" ref="H94:H95" si="236">SUM(I94:L94)</f>
        <v>0</v>
      </c>
      <c r="I94" s="28"/>
      <c r="J94" s="28"/>
      <c r="K94" s="28"/>
      <c r="L94" s="28"/>
      <c r="M94" s="28"/>
      <c r="N94" s="28"/>
      <c r="O94" s="28"/>
      <c r="P94" s="28"/>
      <c r="Q94" s="39"/>
      <c r="R94" s="39"/>
      <c r="S94" s="39"/>
      <c r="T94" s="39"/>
      <c r="U94" s="39"/>
      <c r="V94" s="39"/>
      <c r="W94" s="39"/>
      <c r="X94" s="44">
        <f t="shared" ref="X94:X95" si="237">Y94+AN94+AQ94+AT94+AW94</f>
        <v>0</v>
      </c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39"/>
      <c r="AO94" s="39"/>
      <c r="AP94" s="39"/>
      <c r="AQ94" s="39"/>
      <c r="AR94" s="39"/>
      <c r="AS94" s="39"/>
      <c r="AT94" s="39"/>
      <c r="AU94" s="39"/>
      <c r="AV94" s="39"/>
      <c r="AW94" s="39"/>
      <c r="AX94" s="39"/>
      <c r="AY94" s="39"/>
      <c r="AZ94" s="39"/>
      <c r="BA94" s="39"/>
      <c r="BB94" s="39"/>
      <c r="BC94" s="39"/>
      <c r="BD94" s="44">
        <f t="shared" ref="BD94:BD95" si="238">SUM(BE94:BI94)</f>
        <v>0</v>
      </c>
      <c r="BE94" s="39"/>
      <c r="BF94" s="39"/>
      <c r="BG94" s="39"/>
      <c r="BH94" s="39"/>
      <c r="BI94" s="39"/>
      <c r="BJ94" s="44">
        <f t="shared" ref="BJ94:BJ95" si="239">SUM(BK94:BO94)</f>
        <v>0</v>
      </c>
      <c r="BK94" s="39"/>
      <c r="BL94" s="39"/>
      <c r="BM94" s="39"/>
      <c r="BN94" s="39"/>
      <c r="BO94" s="39"/>
      <c r="BP94" s="173"/>
      <c r="BQ94" s="173"/>
      <c r="BR94" s="173"/>
    </row>
    <row r="95" spans="1:70" hidden="1">
      <c r="A95" s="173"/>
      <c r="B95" s="173"/>
      <c r="C95" s="62" t="s">
        <v>95</v>
      </c>
      <c r="D95" s="64"/>
      <c r="E95" s="173"/>
      <c r="F95" s="173"/>
      <c r="G95" s="44">
        <f t="shared" si="235"/>
        <v>0</v>
      </c>
      <c r="H95" s="44">
        <f t="shared" si="236"/>
        <v>0</v>
      </c>
      <c r="I95" s="28"/>
      <c r="J95" s="28"/>
      <c r="K95" s="28"/>
      <c r="L95" s="28"/>
      <c r="M95" s="28"/>
      <c r="N95" s="28"/>
      <c r="O95" s="28"/>
      <c r="P95" s="28"/>
      <c r="Q95" s="39"/>
      <c r="R95" s="39"/>
      <c r="S95" s="39"/>
      <c r="T95" s="39"/>
      <c r="U95" s="39"/>
      <c r="V95" s="39"/>
      <c r="W95" s="39"/>
      <c r="X95" s="44">
        <f t="shared" si="237"/>
        <v>0</v>
      </c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39"/>
      <c r="AR95" s="39"/>
      <c r="AS95" s="39"/>
      <c r="AT95" s="39"/>
      <c r="AU95" s="39"/>
      <c r="AV95" s="39"/>
      <c r="AW95" s="39"/>
      <c r="AX95" s="39"/>
      <c r="AY95" s="39"/>
      <c r="AZ95" s="39"/>
      <c r="BA95" s="39"/>
      <c r="BB95" s="39"/>
      <c r="BC95" s="39"/>
      <c r="BD95" s="44">
        <f t="shared" si="238"/>
        <v>0</v>
      </c>
      <c r="BE95" s="39"/>
      <c r="BF95" s="39"/>
      <c r="BG95" s="39"/>
      <c r="BH95" s="39"/>
      <c r="BI95" s="39"/>
      <c r="BJ95" s="44">
        <f t="shared" si="239"/>
        <v>0</v>
      </c>
      <c r="BK95" s="39"/>
      <c r="BL95" s="39"/>
      <c r="BM95" s="39"/>
      <c r="BN95" s="39"/>
      <c r="BO95" s="39"/>
      <c r="BP95" s="173"/>
      <c r="BQ95" s="173"/>
      <c r="BR95" s="173"/>
    </row>
    <row r="96" spans="1:70" hidden="1">
      <c r="A96" s="173"/>
      <c r="B96" s="173"/>
      <c r="C96" s="62"/>
      <c r="D96" s="64" t="s">
        <v>98</v>
      </c>
      <c r="E96" s="173"/>
      <c r="F96" s="173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27"/>
      <c r="X96" s="56"/>
      <c r="Y96" s="56"/>
      <c r="Z96" s="44">
        <f t="shared" ref="Z96:AY96" si="240">SUM(Z92:Z95)</f>
        <v>0</v>
      </c>
      <c r="AA96" s="44">
        <f t="shared" si="240"/>
        <v>0</v>
      </c>
      <c r="AB96" s="44">
        <f t="shared" si="240"/>
        <v>0</v>
      </c>
      <c r="AC96" s="44">
        <f t="shared" si="240"/>
        <v>0</v>
      </c>
      <c r="AD96" s="44">
        <f t="shared" si="240"/>
        <v>0</v>
      </c>
      <c r="AE96" s="44">
        <f t="shared" si="240"/>
        <v>0</v>
      </c>
      <c r="AF96" s="44">
        <f t="shared" si="240"/>
        <v>0</v>
      </c>
      <c r="AG96" s="44">
        <f t="shared" si="240"/>
        <v>0</v>
      </c>
      <c r="AH96" s="44">
        <f t="shared" si="240"/>
        <v>0</v>
      </c>
      <c r="AI96" s="44">
        <f t="shared" si="240"/>
        <v>0</v>
      </c>
      <c r="AJ96" s="44">
        <f t="shared" si="240"/>
        <v>0</v>
      </c>
      <c r="AK96" s="44">
        <f t="shared" si="240"/>
        <v>0</v>
      </c>
      <c r="AL96" s="44">
        <f t="shared" si="240"/>
        <v>0</v>
      </c>
      <c r="AM96" s="44">
        <f t="shared" si="240"/>
        <v>0</v>
      </c>
      <c r="AN96" s="44">
        <f t="shared" si="240"/>
        <v>0</v>
      </c>
      <c r="AO96" s="44">
        <f t="shared" si="240"/>
        <v>0</v>
      </c>
      <c r="AP96" s="44">
        <f t="shared" si="240"/>
        <v>0</v>
      </c>
      <c r="AQ96" s="44">
        <f t="shared" si="240"/>
        <v>0</v>
      </c>
      <c r="AR96" s="44">
        <f t="shared" si="240"/>
        <v>0</v>
      </c>
      <c r="AS96" s="44">
        <f t="shared" si="240"/>
        <v>0</v>
      </c>
      <c r="AT96" s="44">
        <f t="shared" si="240"/>
        <v>0</v>
      </c>
      <c r="AU96" s="44">
        <f t="shared" si="240"/>
        <v>0</v>
      </c>
      <c r="AV96" s="44">
        <f t="shared" si="240"/>
        <v>0</v>
      </c>
      <c r="AW96" s="44">
        <f t="shared" si="240"/>
        <v>0</v>
      </c>
      <c r="AX96" s="44">
        <f t="shared" si="240"/>
        <v>0</v>
      </c>
      <c r="AY96" s="44">
        <f t="shared" si="240"/>
        <v>0</v>
      </c>
      <c r="AZ96" s="27"/>
      <c r="BA96" s="27"/>
      <c r="BB96" s="27"/>
      <c r="BC96" s="27"/>
      <c r="BD96" s="44">
        <f t="shared" ref="BD96:BO96" si="241">SUM(BD92:BD95)</f>
        <v>0</v>
      </c>
      <c r="BE96" s="44">
        <f t="shared" si="241"/>
        <v>0</v>
      </c>
      <c r="BF96" s="44">
        <f t="shared" si="241"/>
        <v>0</v>
      </c>
      <c r="BG96" s="44">
        <f t="shared" si="241"/>
        <v>0</v>
      </c>
      <c r="BH96" s="44">
        <f t="shared" si="241"/>
        <v>0</v>
      </c>
      <c r="BI96" s="44">
        <f t="shared" si="241"/>
        <v>0</v>
      </c>
      <c r="BJ96" s="44">
        <f t="shared" si="241"/>
        <v>0</v>
      </c>
      <c r="BK96" s="44">
        <f t="shared" si="241"/>
        <v>0</v>
      </c>
      <c r="BL96" s="44">
        <f t="shared" si="241"/>
        <v>0</v>
      </c>
      <c r="BM96" s="44">
        <f t="shared" si="241"/>
        <v>0</v>
      </c>
      <c r="BN96" s="44">
        <f t="shared" si="241"/>
        <v>0</v>
      </c>
      <c r="BO96" s="44">
        <f t="shared" si="241"/>
        <v>0</v>
      </c>
      <c r="BP96" s="173"/>
      <c r="BQ96" s="173"/>
      <c r="BR96" s="173"/>
    </row>
    <row r="97" spans="1:70" hidden="1">
      <c r="A97" s="173"/>
      <c r="B97" s="173"/>
      <c r="C97" s="60" t="s">
        <v>129</v>
      </c>
      <c r="D97" s="61" t="s">
        <v>55</v>
      </c>
      <c r="E97" s="173"/>
      <c r="F97" s="173"/>
      <c r="G97" s="173"/>
      <c r="H97" s="173"/>
      <c r="I97" s="173"/>
      <c r="J97" s="173"/>
      <c r="K97" s="173"/>
      <c r="L97" s="173"/>
      <c r="M97" s="173"/>
      <c r="N97" s="173"/>
      <c r="O97" s="173"/>
      <c r="P97" s="173"/>
      <c r="Q97" s="173"/>
      <c r="R97" s="173"/>
      <c r="S97" s="173"/>
      <c r="T97" s="173"/>
      <c r="U97" s="173"/>
      <c r="V97" s="173"/>
      <c r="W97" s="173"/>
      <c r="X97" s="173"/>
      <c r="Y97" s="173"/>
      <c r="Z97" s="173"/>
      <c r="AA97" s="173"/>
      <c r="AB97" s="173"/>
      <c r="AC97" s="173"/>
      <c r="AD97" s="173"/>
      <c r="AE97" s="173"/>
      <c r="AF97" s="173"/>
      <c r="AG97" s="173"/>
      <c r="AH97" s="173"/>
      <c r="AI97" s="173"/>
      <c r="AJ97" s="173"/>
      <c r="AK97" s="173"/>
      <c r="AL97" s="173"/>
      <c r="AM97" s="173"/>
      <c r="AN97" s="173"/>
      <c r="AO97" s="173"/>
      <c r="AP97" s="173"/>
      <c r="AQ97" s="173"/>
      <c r="AR97" s="173"/>
      <c r="AS97" s="173"/>
      <c r="AT97" s="173"/>
      <c r="AU97" s="173"/>
      <c r="AV97" s="173"/>
      <c r="AW97" s="173"/>
      <c r="AX97" s="173"/>
      <c r="AY97" s="173"/>
      <c r="AZ97" s="173"/>
      <c r="BA97" s="173"/>
      <c r="BB97" s="173"/>
      <c r="BC97" s="173"/>
      <c r="BD97" s="173"/>
      <c r="BE97" s="173"/>
      <c r="BF97" s="173"/>
      <c r="BG97" s="173"/>
      <c r="BH97" s="173"/>
      <c r="BI97" s="173"/>
      <c r="BJ97" s="173"/>
      <c r="BK97" s="173"/>
      <c r="BL97" s="173"/>
      <c r="BM97" s="173"/>
      <c r="BN97" s="173"/>
      <c r="BO97" s="173"/>
      <c r="BP97" s="173"/>
      <c r="BQ97" s="173"/>
      <c r="BR97" s="173"/>
    </row>
    <row r="98" spans="1:70" hidden="1">
      <c r="A98" s="173"/>
      <c r="B98" s="173"/>
      <c r="C98" s="62"/>
      <c r="D98" s="64"/>
      <c r="E98" s="173"/>
      <c r="F98" s="173"/>
      <c r="G98" s="44">
        <f>H98+M98+N98+O98+P98</f>
        <v>0</v>
      </c>
      <c r="H98" s="44">
        <f>SUM(I98:L98)</f>
        <v>0</v>
      </c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44">
        <f>Y98+AN98+AQ98+AT98+AW98</f>
        <v>0</v>
      </c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44">
        <f>SUM(BE98:BI98)</f>
        <v>0</v>
      </c>
      <c r="BE98" s="27"/>
      <c r="BF98" s="27"/>
      <c r="BG98" s="27"/>
      <c r="BH98" s="27"/>
      <c r="BI98" s="27"/>
      <c r="BJ98" s="44">
        <f>SUM(BK98:BO98)</f>
        <v>0</v>
      </c>
      <c r="BK98" s="27"/>
      <c r="BL98" s="27"/>
      <c r="BM98" s="27"/>
      <c r="BN98" s="27"/>
      <c r="BO98" s="27"/>
      <c r="BP98" s="173"/>
      <c r="BQ98" s="173"/>
      <c r="BR98" s="173"/>
    </row>
    <row r="99" spans="1:70" hidden="1">
      <c r="A99" s="173"/>
      <c r="B99" s="173"/>
      <c r="C99" s="62"/>
      <c r="D99" s="64"/>
      <c r="E99" s="173"/>
      <c r="F99" s="173"/>
      <c r="G99" s="44">
        <f t="shared" ref="G99:G100" si="242">H99+M99+N99+O99+P99</f>
        <v>0</v>
      </c>
      <c r="H99" s="44">
        <f t="shared" ref="H99:H100" si="243">SUM(I99:L99)</f>
        <v>0</v>
      </c>
      <c r="I99" s="28"/>
      <c r="J99" s="28"/>
      <c r="K99" s="28"/>
      <c r="L99" s="28"/>
      <c r="M99" s="28"/>
      <c r="N99" s="28"/>
      <c r="O99" s="28"/>
      <c r="P99" s="28"/>
      <c r="Q99" s="39"/>
      <c r="R99" s="39"/>
      <c r="S99" s="39"/>
      <c r="T99" s="39"/>
      <c r="U99" s="39"/>
      <c r="V99" s="39"/>
      <c r="W99" s="39"/>
      <c r="X99" s="44">
        <f t="shared" ref="X99:X100" si="244">Y99+AN99+AQ99+AT99+AW99</f>
        <v>0</v>
      </c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39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44">
        <f t="shared" ref="BD99:BD100" si="245">SUM(BE99:BI99)</f>
        <v>0</v>
      </c>
      <c r="BE99" s="39"/>
      <c r="BF99" s="39"/>
      <c r="BG99" s="39"/>
      <c r="BH99" s="39"/>
      <c r="BI99" s="39"/>
      <c r="BJ99" s="44">
        <f t="shared" ref="BJ99:BJ100" si="246">SUM(BK99:BO99)</f>
        <v>0</v>
      </c>
      <c r="BK99" s="39"/>
      <c r="BL99" s="39"/>
      <c r="BM99" s="39"/>
      <c r="BN99" s="39"/>
      <c r="BO99" s="39"/>
      <c r="BP99" s="173"/>
      <c r="BQ99" s="173"/>
      <c r="BR99" s="173"/>
    </row>
    <row r="100" spans="1:70" hidden="1">
      <c r="A100" s="173"/>
      <c r="B100" s="173"/>
      <c r="C100" s="62" t="s">
        <v>95</v>
      </c>
      <c r="D100" s="64"/>
      <c r="E100" s="173"/>
      <c r="F100" s="173"/>
      <c r="G100" s="44">
        <f t="shared" si="242"/>
        <v>0</v>
      </c>
      <c r="H100" s="44">
        <f t="shared" si="243"/>
        <v>0</v>
      </c>
      <c r="I100" s="28"/>
      <c r="J100" s="28"/>
      <c r="K100" s="28"/>
      <c r="L100" s="28"/>
      <c r="M100" s="28"/>
      <c r="N100" s="28"/>
      <c r="O100" s="28"/>
      <c r="P100" s="28"/>
      <c r="Q100" s="39"/>
      <c r="R100" s="39"/>
      <c r="S100" s="39"/>
      <c r="T100" s="39"/>
      <c r="U100" s="39"/>
      <c r="V100" s="39"/>
      <c r="W100" s="39"/>
      <c r="X100" s="44">
        <f t="shared" si="244"/>
        <v>0</v>
      </c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39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44">
        <f t="shared" si="245"/>
        <v>0</v>
      </c>
      <c r="BE100" s="39"/>
      <c r="BF100" s="39"/>
      <c r="BG100" s="39"/>
      <c r="BH100" s="39"/>
      <c r="BI100" s="39"/>
      <c r="BJ100" s="44">
        <f t="shared" si="246"/>
        <v>0</v>
      </c>
      <c r="BK100" s="39"/>
      <c r="BL100" s="39"/>
      <c r="BM100" s="39"/>
      <c r="BN100" s="39"/>
      <c r="BO100" s="39"/>
      <c r="BP100" s="173"/>
      <c r="BQ100" s="173"/>
      <c r="BR100" s="173"/>
    </row>
    <row r="101" spans="1:70" hidden="1">
      <c r="A101" s="176"/>
      <c r="B101" s="176"/>
      <c r="C101" s="65"/>
      <c r="D101" s="66" t="s">
        <v>98</v>
      </c>
      <c r="E101" s="176"/>
      <c r="F101" s="17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27"/>
      <c r="X101" s="56"/>
      <c r="Y101" s="56"/>
      <c r="Z101" s="44">
        <f t="shared" ref="Z101:AY101" si="247">SUM(Z97:Z100)</f>
        <v>0</v>
      </c>
      <c r="AA101" s="44">
        <f t="shared" si="247"/>
        <v>0</v>
      </c>
      <c r="AB101" s="44">
        <f t="shared" si="247"/>
        <v>0</v>
      </c>
      <c r="AC101" s="44">
        <f t="shared" si="247"/>
        <v>0</v>
      </c>
      <c r="AD101" s="44">
        <f t="shared" si="247"/>
        <v>0</v>
      </c>
      <c r="AE101" s="44">
        <f t="shared" si="247"/>
        <v>0</v>
      </c>
      <c r="AF101" s="44">
        <f t="shared" si="247"/>
        <v>0</v>
      </c>
      <c r="AG101" s="44">
        <f t="shared" si="247"/>
        <v>0</v>
      </c>
      <c r="AH101" s="44">
        <f t="shared" si="247"/>
        <v>0</v>
      </c>
      <c r="AI101" s="44">
        <f t="shared" si="247"/>
        <v>0</v>
      </c>
      <c r="AJ101" s="44">
        <f t="shared" si="247"/>
        <v>0</v>
      </c>
      <c r="AK101" s="44">
        <f t="shared" si="247"/>
        <v>0</v>
      </c>
      <c r="AL101" s="44">
        <f t="shared" si="247"/>
        <v>0</v>
      </c>
      <c r="AM101" s="44">
        <f t="shared" si="247"/>
        <v>0</v>
      </c>
      <c r="AN101" s="44">
        <f t="shared" si="247"/>
        <v>0</v>
      </c>
      <c r="AO101" s="44">
        <f t="shared" si="247"/>
        <v>0</v>
      </c>
      <c r="AP101" s="44">
        <f t="shared" si="247"/>
        <v>0</v>
      </c>
      <c r="AQ101" s="44">
        <f t="shared" si="247"/>
        <v>0</v>
      </c>
      <c r="AR101" s="44">
        <f t="shared" si="247"/>
        <v>0</v>
      </c>
      <c r="AS101" s="44">
        <f t="shared" si="247"/>
        <v>0</v>
      </c>
      <c r="AT101" s="44">
        <f t="shared" si="247"/>
        <v>0</v>
      </c>
      <c r="AU101" s="44">
        <f t="shared" si="247"/>
        <v>0</v>
      </c>
      <c r="AV101" s="44">
        <f t="shared" si="247"/>
        <v>0</v>
      </c>
      <c r="AW101" s="44">
        <f t="shared" si="247"/>
        <v>0</v>
      </c>
      <c r="AX101" s="44">
        <f t="shared" si="247"/>
        <v>0</v>
      </c>
      <c r="AY101" s="44">
        <f t="shared" si="247"/>
        <v>0</v>
      </c>
      <c r="AZ101" s="27"/>
      <c r="BA101" s="27"/>
      <c r="BB101" s="27"/>
      <c r="BC101" s="27"/>
      <c r="BD101" s="44">
        <f t="shared" ref="BD101:BO101" si="248">SUM(BD97:BD100)</f>
        <v>0</v>
      </c>
      <c r="BE101" s="44">
        <f t="shared" si="248"/>
        <v>0</v>
      </c>
      <c r="BF101" s="44">
        <f t="shared" si="248"/>
        <v>0</v>
      </c>
      <c r="BG101" s="44">
        <f t="shared" si="248"/>
        <v>0</v>
      </c>
      <c r="BH101" s="44">
        <f t="shared" si="248"/>
        <v>0</v>
      </c>
      <c r="BI101" s="44">
        <f t="shared" si="248"/>
        <v>0</v>
      </c>
      <c r="BJ101" s="44">
        <f t="shared" si="248"/>
        <v>0</v>
      </c>
      <c r="BK101" s="44">
        <f t="shared" si="248"/>
        <v>0</v>
      </c>
      <c r="BL101" s="44">
        <f t="shared" si="248"/>
        <v>0</v>
      </c>
      <c r="BM101" s="44">
        <f t="shared" si="248"/>
        <v>0</v>
      </c>
      <c r="BN101" s="44">
        <f t="shared" si="248"/>
        <v>0</v>
      </c>
      <c r="BO101" s="44">
        <f t="shared" si="248"/>
        <v>0</v>
      </c>
      <c r="BP101" s="176"/>
      <c r="BQ101" s="176"/>
      <c r="BR101" s="176"/>
    </row>
    <row r="102" spans="1:70" ht="95.25" hidden="1" customHeight="1">
      <c r="A102" s="59"/>
      <c r="B102" s="59"/>
      <c r="C102" s="34">
        <v>3</v>
      </c>
      <c r="D102" s="48" t="s">
        <v>281</v>
      </c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  <c r="AO102" s="59"/>
      <c r="AP102" s="59"/>
      <c r="AQ102" s="59"/>
      <c r="AR102" s="59"/>
      <c r="AS102" s="59"/>
      <c r="AT102" s="59"/>
      <c r="AU102" s="59"/>
      <c r="AV102" s="59"/>
      <c r="AW102" s="59"/>
      <c r="AX102" s="59"/>
      <c r="AY102" s="59"/>
      <c r="AZ102" s="59"/>
      <c r="BA102" s="59"/>
      <c r="BB102" s="59"/>
      <c r="BC102" s="59"/>
      <c r="BD102" s="59"/>
      <c r="BE102" s="59"/>
      <c r="BF102" s="59"/>
      <c r="BG102" s="59"/>
      <c r="BH102" s="59"/>
      <c r="BI102" s="59"/>
      <c r="BJ102" s="59"/>
      <c r="BK102" s="59"/>
      <c r="BL102" s="59"/>
      <c r="BM102" s="59"/>
      <c r="BN102" s="59"/>
      <c r="BO102" s="59"/>
      <c r="BP102" s="59"/>
      <c r="BQ102" s="59"/>
      <c r="BR102" s="59"/>
    </row>
    <row r="103" spans="1:70" hidden="1">
      <c r="A103" s="177"/>
      <c r="B103" s="67"/>
      <c r="C103" s="68" t="s">
        <v>57</v>
      </c>
      <c r="D103" s="69" t="s">
        <v>92</v>
      </c>
      <c r="E103" s="177"/>
      <c r="F103" s="177"/>
      <c r="G103" s="177"/>
      <c r="H103" s="177"/>
      <c r="I103" s="177"/>
      <c r="J103" s="177"/>
      <c r="K103" s="177"/>
      <c r="L103" s="177"/>
      <c r="M103" s="177"/>
      <c r="N103" s="177"/>
      <c r="O103" s="177"/>
      <c r="P103" s="177"/>
      <c r="Q103" s="177"/>
      <c r="R103" s="177"/>
      <c r="S103" s="177"/>
      <c r="T103" s="177"/>
      <c r="U103" s="177"/>
      <c r="V103" s="177"/>
      <c r="W103" s="177"/>
      <c r="X103" s="177"/>
      <c r="Y103" s="177"/>
      <c r="Z103" s="177"/>
      <c r="AA103" s="177"/>
      <c r="AB103" s="177"/>
      <c r="AC103" s="177"/>
      <c r="AD103" s="177"/>
      <c r="AE103" s="177"/>
      <c r="AF103" s="177"/>
      <c r="AG103" s="177"/>
      <c r="AH103" s="177"/>
      <c r="AI103" s="177"/>
      <c r="AJ103" s="177"/>
      <c r="AK103" s="177"/>
      <c r="AL103" s="177"/>
      <c r="AM103" s="177"/>
      <c r="AN103" s="177"/>
      <c r="AO103" s="177"/>
      <c r="AP103" s="177"/>
      <c r="AQ103" s="177"/>
      <c r="AR103" s="177"/>
      <c r="AS103" s="177"/>
      <c r="AT103" s="177"/>
      <c r="AU103" s="177"/>
      <c r="AV103" s="177"/>
      <c r="AW103" s="177"/>
      <c r="AX103" s="177"/>
      <c r="AY103" s="177"/>
      <c r="AZ103" s="177"/>
      <c r="BA103" s="177"/>
      <c r="BB103" s="177"/>
      <c r="BC103" s="177"/>
      <c r="BD103" s="177"/>
      <c r="BE103" s="177"/>
      <c r="BF103" s="177"/>
      <c r="BG103" s="177"/>
      <c r="BH103" s="177"/>
      <c r="BI103" s="177"/>
      <c r="BJ103" s="177"/>
      <c r="BK103" s="177"/>
      <c r="BL103" s="177"/>
      <c r="BM103" s="177"/>
      <c r="BN103" s="177"/>
      <c r="BO103" s="177"/>
      <c r="BP103" s="177"/>
      <c r="BQ103" s="177"/>
      <c r="BR103" s="177"/>
    </row>
    <row r="104" spans="1:70" hidden="1">
      <c r="A104" s="173"/>
      <c r="B104" s="70"/>
      <c r="C104" s="62" t="s">
        <v>265</v>
      </c>
      <c r="D104" s="63" t="s">
        <v>266</v>
      </c>
      <c r="E104" s="173"/>
      <c r="F104" s="173"/>
      <c r="G104" s="173"/>
      <c r="H104" s="173"/>
      <c r="I104" s="173"/>
      <c r="J104" s="173"/>
      <c r="K104" s="173"/>
      <c r="L104" s="173"/>
      <c r="M104" s="173"/>
      <c r="N104" s="173"/>
      <c r="O104" s="173"/>
      <c r="P104" s="173"/>
      <c r="Q104" s="173"/>
      <c r="R104" s="173"/>
      <c r="S104" s="173"/>
      <c r="T104" s="173"/>
      <c r="U104" s="173"/>
      <c r="V104" s="173"/>
      <c r="W104" s="173"/>
      <c r="X104" s="173"/>
      <c r="Y104" s="173"/>
      <c r="Z104" s="173"/>
      <c r="AA104" s="173"/>
      <c r="AB104" s="173"/>
      <c r="AC104" s="173"/>
      <c r="AD104" s="173"/>
      <c r="AE104" s="173"/>
      <c r="AF104" s="173"/>
      <c r="AG104" s="173"/>
      <c r="AH104" s="173"/>
      <c r="AI104" s="173"/>
      <c r="AJ104" s="173"/>
      <c r="AK104" s="173"/>
      <c r="AL104" s="173"/>
      <c r="AM104" s="173"/>
      <c r="AN104" s="173"/>
      <c r="AO104" s="173"/>
      <c r="AP104" s="173"/>
      <c r="AQ104" s="173"/>
      <c r="AR104" s="173"/>
      <c r="AS104" s="173"/>
      <c r="AT104" s="173"/>
      <c r="AU104" s="173"/>
      <c r="AV104" s="173"/>
      <c r="AW104" s="173"/>
      <c r="AX104" s="173"/>
      <c r="AY104" s="173"/>
      <c r="AZ104" s="173"/>
      <c r="BA104" s="173"/>
      <c r="BB104" s="173"/>
      <c r="BC104" s="173"/>
      <c r="BD104" s="173"/>
      <c r="BE104" s="173"/>
      <c r="BF104" s="173"/>
      <c r="BG104" s="173"/>
      <c r="BH104" s="173"/>
      <c r="BI104" s="173"/>
      <c r="BJ104" s="173"/>
      <c r="BK104" s="173"/>
      <c r="BL104" s="173"/>
      <c r="BM104" s="173"/>
      <c r="BN104" s="173"/>
      <c r="BO104" s="173"/>
      <c r="BP104" s="173"/>
      <c r="BQ104" s="173"/>
      <c r="BR104" s="173"/>
    </row>
    <row r="105" spans="1:70" hidden="1">
      <c r="A105" s="173"/>
      <c r="B105" s="70"/>
      <c r="C105" s="62"/>
      <c r="D105" s="63"/>
      <c r="E105" s="173"/>
      <c r="F105" s="173"/>
      <c r="G105" s="44">
        <f t="shared" ref="G105:G106" si="249">H105+M105+N105+O105+P105</f>
        <v>0</v>
      </c>
      <c r="H105" s="44">
        <f t="shared" ref="H105:H106" si="250">SUM(I105:L105)</f>
        <v>0</v>
      </c>
      <c r="I105" s="28"/>
      <c r="J105" s="28"/>
      <c r="K105" s="28"/>
      <c r="L105" s="28"/>
      <c r="M105" s="28"/>
      <c r="N105" s="28"/>
      <c r="O105" s="28"/>
      <c r="P105" s="28"/>
      <c r="Q105" s="39"/>
      <c r="R105" s="39"/>
      <c r="S105" s="39"/>
      <c r="T105" s="39"/>
      <c r="U105" s="39"/>
      <c r="V105" s="39"/>
      <c r="W105" s="39"/>
      <c r="X105" s="44">
        <f t="shared" ref="X105:X106" si="251">Y105+AN105+AQ105+AT105+AW105</f>
        <v>0</v>
      </c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  <c r="AR105" s="39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44">
        <f t="shared" ref="BD105:BD106" si="252">SUM(BE105:BI105)</f>
        <v>0</v>
      </c>
      <c r="BE105" s="39"/>
      <c r="BF105" s="39"/>
      <c r="BG105" s="39"/>
      <c r="BH105" s="39"/>
      <c r="BI105" s="39"/>
      <c r="BJ105" s="44">
        <f t="shared" ref="BJ105:BJ106" si="253">SUM(BK105:BO105)</f>
        <v>0</v>
      </c>
      <c r="BK105" s="39"/>
      <c r="BL105" s="39"/>
      <c r="BM105" s="39"/>
      <c r="BN105" s="39"/>
      <c r="BO105" s="39"/>
      <c r="BP105" s="173"/>
      <c r="BQ105" s="173"/>
      <c r="BR105" s="173"/>
    </row>
    <row r="106" spans="1:70" hidden="1">
      <c r="A106" s="173"/>
      <c r="B106" s="70"/>
      <c r="C106" s="62"/>
      <c r="D106" s="70"/>
      <c r="E106" s="173"/>
      <c r="F106" s="173"/>
      <c r="G106" s="44">
        <f t="shared" si="249"/>
        <v>0</v>
      </c>
      <c r="H106" s="44">
        <f t="shared" si="250"/>
        <v>0</v>
      </c>
      <c r="I106" s="28"/>
      <c r="J106" s="28"/>
      <c r="K106" s="28"/>
      <c r="L106" s="28"/>
      <c r="M106" s="28"/>
      <c r="N106" s="28"/>
      <c r="O106" s="28"/>
      <c r="P106" s="28"/>
      <c r="Q106" s="39"/>
      <c r="R106" s="39"/>
      <c r="S106" s="39"/>
      <c r="T106" s="39"/>
      <c r="U106" s="39"/>
      <c r="V106" s="39"/>
      <c r="W106" s="39"/>
      <c r="X106" s="44">
        <f t="shared" si="251"/>
        <v>0</v>
      </c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39"/>
      <c r="AO106" s="39"/>
      <c r="AP106" s="39"/>
      <c r="AQ106" s="39"/>
      <c r="AR106" s="39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44">
        <f t="shared" si="252"/>
        <v>0</v>
      </c>
      <c r="BE106" s="39"/>
      <c r="BF106" s="39"/>
      <c r="BG106" s="39"/>
      <c r="BH106" s="39"/>
      <c r="BI106" s="39"/>
      <c r="BJ106" s="44">
        <f t="shared" si="253"/>
        <v>0</v>
      </c>
      <c r="BK106" s="39"/>
      <c r="BL106" s="39"/>
      <c r="BM106" s="39"/>
      <c r="BN106" s="39"/>
      <c r="BO106" s="39"/>
      <c r="BP106" s="173"/>
      <c r="BQ106" s="173"/>
      <c r="BR106" s="173"/>
    </row>
    <row r="107" spans="1:70" hidden="1">
      <c r="A107" s="173"/>
      <c r="B107" s="70"/>
      <c r="C107" s="62" t="s">
        <v>95</v>
      </c>
      <c r="D107" s="70" t="s">
        <v>11</v>
      </c>
      <c r="E107" s="173"/>
      <c r="F107" s="173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27"/>
      <c r="X107" s="56"/>
      <c r="Y107" s="56"/>
      <c r="Z107" s="44">
        <f t="shared" ref="Z107:AY107" si="254">SUM(Z103:Z106)</f>
        <v>0</v>
      </c>
      <c r="AA107" s="44">
        <f t="shared" si="254"/>
        <v>0</v>
      </c>
      <c r="AB107" s="44">
        <f t="shared" si="254"/>
        <v>0</v>
      </c>
      <c r="AC107" s="44">
        <f t="shared" si="254"/>
        <v>0</v>
      </c>
      <c r="AD107" s="44">
        <f t="shared" si="254"/>
        <v>0</v>
      </c>
      <c r="AE107" s="44">
        <f t="shared" si="254"/>
        <v>0</v>
      </c>
      <c r="AF107" s="44">
        <f t="shared" si="254"/>
        <v>0</v>
      </c>
      <c r="AG107" s="44">
        <f t="shared" si="254"/>
        <v>0</v>
      </c>
      <c r="AH107" s="44">
        <f t="shared" si="254"/>
        <v>0</v>
      </c>
      <c r="AI107" s="44">
        <f t="shared" si="254"/>
        <v>0</v>
      </c>
      <c r="AJ107" s="44">
        <f t="shared" si="254"/>
        <v>0</v>
      </c>
      <c r="AK107" s="44">
        <f t="shared" si="254"/>
        <v>0</v>
      </c>
      <c r="AL107" s="44">
        <f t="shared" si="254"/>
        <v>0</v>
      </c>
      <c r="AM107" s="44">
        <f t="shared" si="254"/>
        <v>0</v>
      </c>
      <c r="AN107" s="44">
        <f t="shared" si="254"/>
        <v>0</v>
      </c>
      <c r="AO107" s="44">
        <f t="shared" si="254"/>
        <v>0</v>
      </c>
      <c r="AP107" s="44">
        <f t="shared" si="254"/>
        <v>0</v>
      </c>
      <c r="AQ107" s="44">
        <f t="shared" si="254"/>
        <v>0</v>
      </c>
      <c r="AR107" s="44">
        <f t="shared" si="254"/>
        <v>0</v>
      </c>
      <c r="AS107" s="44">
        <f t="shared" si="254"/>
        <v>0</v>
      </c>
      <c r="AT107" s="44">
        <f t="shared" si="254"/>
        <v>0</v>
      </c>
      <c r="AU107" s="44">
        <f t="shared" si="254"/>
        <v>0</v>
      </c>
      <c r="AV107" s="44">
        <f t="shared" si="254"/>
        <v>0</v>
      </c>
      <c r="AW107" s="44">
        <f t="shared" si="254"/>
        <v>0</v>
      </c>
      <c r="AX107" s="44">
        <f t="shared" si="254"/>
        <v>0</v>
      </c>
      <c r="AY107" s="44">
        <f t="shared" si="254"/>
        <v>0</v>
      </c>
      <c r="AZ107" s="27"/>
      <c r="BA107" s="27"/>
      <c r="BB107" s="27"/>
      <c r="BC107" s="27"/>
      <c r="BD107" s="44">
        <f t="shared" ref="BD107:BO107" si="255">SUM(BD103:BD106)</f>
        <v>0</v>
      </c>
      <c r="BE107" s="44">
        <f t="shared" si="255"/>
        <v>0</v>
      </c>
      <c r="BF107" s="44">
        <f t="shared" si="255"/>
        <v>0</v>
      </c>
      <c r="BG107" s="44">
        <f t="shared" si="255"/>
        <v>0</v>
      </c>
      <c r="BH107" s="44">
        <f t="shared" si="255"/>
        <v>0</v>
      </c>
      <c r="BI107" s="44">
        <f t="shared" si="255"/>
        <v>0</v>
      </c>
      <c r="BJ107" s="44">
        <f t="shared" si="255"/>
        <v>0</v>
      </c>
      <c r="BK107" s="44">
        <f t="shared" si="255"/>
        <v>0</v>
      </c>
      <c r="BL107" s="44">
        <f t="shared" si="255"/>
        <v>0</v>
      </c>
      <c r="BM107" s="44">
        <f t="shared" si="255"/>
        <v>0</v>
      </c>
      <c r="BN107" s="44">
        <f t="shared" si="255"/>
        <v>0</v>
      </c>
      <c r="BO107" s="44">
        <f t="shared" si="255"/>
        <v>0</v>
      </c>
      <c r="BP107" s="173"/>
      <c r="BQ107" s="173"/>
      <c r="BR107" s="173"/>
    </row>
    <row r="108" spans="1:70" hidden="1">
      <c r="A108" s="173"/>
      <c r="B108" s="70"/>
      <c r="C108" s="62" t="s">
        <v>267</v>
      </c>
      <c r="D108" s="63" t="s">
        <v>269</v>
      </c>
      <c r="E108" s="173"/>
      <c r="F108" s="173"/>
      <c r="G108" s="173"/>
      <c r="H108" s="173"/>
      <c r="I108" s="173"/>
      <c r="J108" s="173"/>
      <c r="K108" s="173"/>
      <c r="L108" s="173"/>
      <c r="M108" s="173"/>
      <c r="N108" s="173"/>
      <c r="O108" s="173"/>
      <c r="P108" s="173"/>
      <c r="Q108" s="173"/>
      <c r="R108" s="173"/>
      <c r="S108" s="173"/>
      <c r="T108" s="173"/>
      <c r="U108" s="173"/>
      <c r="V108" s="173"/>
      <c r="W108" s="173"/>
      <c r="X108" s="173"/>
      <c r="Y108" s="173"/>
      <c r="Z108" s="173"/>
      <c r="AA108" s="173"/>
      <c r="AB108" s="173"/>
      <c r="AC108" s="173"/>
      <c r="AD108" s="173"/>
      <c r="AE108" s="173"/>
      <c r="AF108" s="173"/>
      <c r="AG108" s="173"/>
      <c r="AH108" s="173"/>
      <c r="AI108" s="173"/>
      <c r="AJ108" s="173"/>
      <c r="AK108" s="173"/>
      <c r="AL108" s="173"/>
      <c r="AM108" s="173"/>
      <c r="AN108" s="173"/>
      <c r="AO108" s="173"/>
      <c r="AP108" s="173"/>
      <c r="AQ108" s="173"/>
      <c r="AR108" s="173"/>
      <c r="AS108" s="173"/>
      <c r="AT108" s="173"/>
      <c r="AU108" s="173"/>
      <c r="AV108" s="173"/>
      <c r="AW108" s="173"/>
      <c r="AX108" s="173"/>
      <c r="AY108" s="173"/>
      <c r="AZ108" s="173"/>
      <c r="BA108" s="173"/>
      <c r="BB108" s="173"/>
      <c r="BC108" s="173"/>
      <c r="BD108" s="173"/>
      <c r="BE108" s="173"/>
      <c r="BF108" s="173"/>
      <c r="BG108" s="173"/>
      <c r="BH108" s="173"/>
      <c r="BI108" s="173"/>
      <c r="BJ108" s="173"/>
      <c r="BK108" s="173"/>
      <c r="BL108" s="173"/>
      <c r="BM108" s="173"/>
      <c r="BN108" s="173"/>
      <c r="BO108" s="173"/>
      <c r="BP108" s="173"/>
      <c r="BQ108" s="173"/>
      <c r="BR108" s="173"/>
    </row>
    <row r="109" spans="1:70" hidden="1">
      <c r="A109" s="173"/>
      <c r="B109" s="70"/>
      <c r="C109" s="62"/>
      <c r="D109" s="63"/>
      <c r="E109" s="173"/>
      <c r="F109" s="173"/>
      <c r="G109" s="44">
        <f t="shared" ref="G109:G110" si="256">H109+M109+N109+O109+P109</f>
        <v>0</v>
      </c>
      <c r="H109" s="44">
        <f t="shared" ref="H109:H110" si="257">SUM(I109:L109)</f>
        <v>0</v>
      </c>
      <c r="I109" s="28"/>
      <c r="J109" s="28"/>
      <c r="K109" s="28"/>
      <c r="L109" s="28"/>
      <c r="M109" s="28"/>
      <c r="N109" s="28"/>
      <c r="O109" s="28"/>
      <c r="P109" s="28"/>
      <c r="Q109" s="39"/>
      <c r="R109" s="39"/>
      <c r="S109" s="39"/>
      <c r="T109" s="39"/>
      <c r="U109" s="39"/>
      <c r="V109" s="39"/>
      <c r="W109" s="39"/>
      <c r="X109" s="44">
        <f t="shared" ref="X109:X110" si="258">Y109+AN109+AQ109+AT109+AW109</f>
        <v>0</v>
      </c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39"/>
      <c r="AO109" s="39"/>
      <c r="AP109" s="39"/>
      <c r="AQ109" s="39"/>
      <c r="AR109" s="39"/>
      <c r="AS109" s="39"/>
      <c r="AT109" s="39"/>
      <c r="AU109" s="39"/>
      <c r="AV109" s="39"/>
      <c r="AW109" s="39"/>
      <c r="AX109" s="39"/>
      <c r="AY109" s="39"/>
      <c r="AZ109" s="39"/>
      <c r="BA109" s="39"/>
      <c r="BB109" s="39"/>
      <c r="BC109" s="39"/>
      <c r="BD109" s="44">
        <f t="shared" ref="BD109:BD110" si="259">SUM(BE109:BI109)</f>
        <v>0</v>
      </c>
      <c r="BE109" s="39"/>
      <c r="BF109" s="39"/>
      <c r="BG109" s="39"/>
      <c r="BH109" s="39"/>
      <c r="BI109" s="39"/>
      <c r="BJ109" s="44">
        <f t="shared" ref="BJ109:BJ110" si="260">SUM(BK109:BO109)</f>
        <v>0</v>
      </c>
      <c r="BK109" s="39"/>
      <c r="BL109" s="39"/>
      <c r="BM109" s="39"/>
      <c r="BN109" s="39"/>
      <c r="BO109" s="39"/>
      <c r="BP109" s="173"/>
      <c r="BQ109" s="173"/>
      <c r="BR109" s="173"/>
    </row>
    <row r="110" spans="1:70" hidden="1">
      <c r="A110" s="173"/>
      <c r="B110" s="70"/>
      <c r="C110" s="62"/>
      <c r="D110" s="70"/>
      <c r="E110" s="173"/>
      <c r="F110" s="173"/>
      <c r="G110" s="44">
        <f t="shared" si="256"/>
        <v>0</v>
      </c>
      <c r="H110" s="44">
        <f t="shared" si="257"/>
        <v>0</v>
      </c>
      <c r="I110" s="28"/>
      <c r="J110" s="28"/>
      <c r="K110" s="28"/>
      <c r="L110" s="28"/>
      <c r="M110" s="28"/>
      <c r="N110" s="28"/>
      <c r="O110" s="28"/>
      <c r="P110" s="28"/>
      <c r="Q110" s="39"/>
      <c r="R110" s="39"/>
      <c r="S110" s="39"/>
      <c r="T110" s="39"/>
      <c r="U110" s="39"/>
      <c r="V110" s="39"/>
      <c r="W110" s="39"/>
      <c r="X110" s="44">
        <f t="shared" si="258"/>
        <v>0</v>
      </c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  <c r="AL110" s="39"/>
      <c r="AM110" s="39"/>
      <c r="AN110" s="39"/>
      <c r="AO110" s="39"/>
      <c r="AP110" s="39"/>
      <c r="AQ110" s="39"/>
      <c r="AR110" s="39"/>
      <c r="AS110" s="39"/>
      <c r="AT110" s="39"/>
      <c r="AU110" s="39"/>
      <c r="AV110" s="39"/>
      <c r="AW110" s="39"/>
      <c r="AX110" s="39"/>
      <c r="AY110" s="39"/>
      <c r="AZ110" s="39"/>
      <c r="BA110" s="39"/>
      <c r="BB110" s="39"/>
      <c r="BC110" s="39"/>
      <c r="BD110" s="44">
        <f t="shared" si="259"/>
        <v>0</v>
      </c>
      <c r="BE110" s="39"/>
      <c r="BF110" s="39"/>
      <c r="BG110" s="39"/>
      <c r="BH110" s="39"/>
      <c r="BI110" s="39"/>
      <c r="BJ110" s="44">
        <f t="shared" si="260"/>
        <v>0</v>
      </c>
      <c r="BK110" s="39"/>
      <c r="BL110" s="39"/>
      <c r="BM110" s="39"/>
      <c r="BN110" s="39"/>
      <c r="BO110" s="39"/>
      <c r="BP110" s="173"/>
      <c r="BQ110" s="173"/>
      <c r="BR110" s="173"/>
    </row>
    <row r="111" spans="1:70" hidden="1">
      <c r="A111" s="173"/>
      <c r="B111" s="70"/>
      <c r="C111" s="62" t="s">
        <v>95</v>
      </c>
      <c r="D111" s="70" t="s">
        <v>11</v>
      </c>
      <c r="E111" s="173"/>
      <c r="F111" s="173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27"/>
      <c r="X111" s="56"/>
      <c r="Y111" s="56"/>
      <c r="Z111" s="44">
        <f t="shared" ref="Z111:AY111" si="261">SUM(Z107:Z110)</f>
        <v>0</v>
      </c>
      <c r="AA111" s="44">
        <f t="shared" si="261"/>
        <v>0</v>
      </c>
      <c r="AB111" s="44">
        <f t="shared" si="261"/>
        <v>0</v>
      </c>
      <c r="AC111" s="44">
        <f t="shared" si="261"/>
        <v>0</v>
      </c>
      <c r="AD111" s="44">
        <f t="shared" si="261"/>
        <v>0</v>
      </c>
      <c r="AE111" s="44">
        <f t="shared" si="261"/>
        <v>0</v>
      </c>
      <c r="AF111" s="44">
        <f t="shared" si="261"/>
        <v>0</v>
      </c>
      <c r="AG111" s="44">
        <f t="shared" si="261"/>
        <v>0</v>
      </c>
      <c r="AH111" s="44">
        <f t="shared" si="261"/>
        <v>0</v>
      </c>
      <c r="AI111" s="44">
        <f t="shared" si="261"/>
        <v>0</v>
      </c>
      <c r="AJ111" s="44">
        <f t="shared" si="261"/>
        <v>0</v>
      </c>
      <c r="AK111" s="44">
        <f t="shared" si="261"/>
        <v>0</v>
      </c>
      <c r="AL111" s="44">
        <f t="shared" si="261"/>
        <v>0</v>
      </c>
      <c r="AM111" s="44">
        <f t="shared" si="261"/>
        <v>0</v>
      </c>
      <c r="AN111" s="44">
        <f t="shared" si="261"/>
        <v>0</v>
      </c>
      <c r="AO111" s="44">
        <f t="shared" si="261"/>
        <v>0</v>
      </c>
      <c r="AP111" s="44">
        <f t="shared" si="261"/>
        <v>0</v>
      </c>
      <c r="AQ111" s="44">
        <f t="shared" si="261"/>
        <v>0</v>
      </c>
      <c r="AR111" s="44">
        <f t="shared" si="261"/>
        <v>0</v>
      </c>
      <c r="AS111" s="44">
        <f t="shared" si="261"/>
        <v>0</v>
      </c>
      <c r="AT111" s="44">
        <f t="shared" si="261"/>
        <v>0</v>
      </c>
      <c r="AU111" s="44">
        <f t="shared" si="261"/>
        <v>0</v>
      </c>
      <c r="AV111" s="44">
        <f t="shared" si="261"/>
        <v>0</v>
      </c>
      <c r="AW111" s="44">
        <f t="shared" si="261"/>
        <v>0</v>
      </c>
      <c r="AX111" s="44">
        <f t="shared" si="261"/>
        <v>0</v>
      </c>
      <c r="AY111" s="44">
        <f t="shared" si="261"/>
        <v>0</v>
      </c>
      <c r="AZ111" s="27"/>
      <c r="BA111" s="27"/>
      <c r="BB111" s="27"/>
      <c r="BC111" s="27"/>
      <c r="BD111" s="44">
        <f t="shared" ref="BD111:BO111" si="262">SUM(BD107:BD110)</f>
        <v>0</v>
      </c>
      <c r="BE111" s="44">
        <f t="shared" si="262"/>
        <v>0</v>
      </c>
      <c r="BF111" s="44">
        <f t="shared" si="262"/>
        <v>0</v>
      </c>
      <c r="BG111" s="44">
        <f t="shared" si="262"/>
        <v>0</v>
      </c>
      <c r="BH111" s="44">
        <f t="shared" si="262"/>
        <v>0</v>
      </c>
      <c r="BI111" s="44">
        <f t="shared" si="262"/>
        <v>0</v>
      </c>
      <c r="BJ111" s="44">
        <f t="shared" si="262"/>
        <v>0</v>
      </c>
      <c r="BK111" s="44">
        <f t="shared" si="262"/>
        <v>0</v>
      </c>
      <c r="BL111" s="44">
        <f t="shared" si="262"/>
        <v>0</v>
      </c>
      <c r="BM111" s="44">
        <f t="shared" si="262"/>
        <v>0</v>
      </c>
      <c r="BN111" s="44">
        <f t="shared" si="262"/>
        <v>0</v>
      </c>
      <c r="BO111" s="44">
        <f t="shared" si="262"/>
        <v>0</v>
      </c>
      <c r="BP111" s="173"/>
      <c r="BQ111" s="173"/>
      <c r="BR111" s="173"/>
    </row>
    <row r="112" spans="1:70" hidden="1">
      <c r="A112" s="173"/>
      <c r="B112" s="70"/>
      <c r="C112" s="62" t="s">
        <v>268</v>
      </c>
      <c r="D112" s="63" t="s">
        <v>270</v>
      </c>
      <c r="E112" s="173"/>
      <c r="F112" s="173"/>
      <c r="G112" s="173"/>
      <c r="H112" s="173"/>
      <c r="I112" s="173"/>
      <c r="J112" s="173"/>
      <c r="K112" s="173"/>
      <c r="L112" s="173"/>
      <c r="M112" s="173"/>
      <c r="N112" s="173"/>
      <c r="O112" s="173"/>
      <c r="P112" s="173"/>
      <c r="Q112" s="173"/>
      <c r="R112" s="173"/>
      <c r="S112" s="173"/>
      <c r="T112" s="173"/>
      <c r="U112" s="173"/>
      <c r="V112" s="173"/>
      <c r="W112" s="173"/>
      <c r="X112" s="173"/>
      <c r="Y112" s="173"/>
      <c r="Z112" s="173"/>
      <c r="AA112" s="173"/>
      <c r="AB112" s="173"/>
      <c r="AC112" s="173"/>
      <c r="AD112" s="173"/>
      <c r="AE112" s="173"/>
      <c r="AF112" s="173"/>
      <c r="AG112" s="173"/>
      <c r="AH112" s="173"/>
      <c r="AI112" s="173"/>
      <c r="AJ112" s="173"/>
      <c r="AK112" s="173"/>
      <c r="AL112" s="173"/>
      <c r="AM112" s="173"/>
      <c r="AN112" s="173"/>
      <c r="AO112" s="173"/>
      <c r="AP112" s="173"/>
      <c r="AQ112" s="173"/>
      <c r="AR112" s="173"/>
      <c r="AS112" s="173"/>
      <c r="AT112" s="173"/>
      <c r="AU112" s="173"/>
      <c r="AV112" s="173"/>
      <c r="AW112" s="173"/>
      <c r="AX112" s="173"/>
      <c r="AY112" s="173"/>
      <c r="AZ112" s="173"/>
      <c r="BA112" s="173"/>
      <c r="BB112" s="173"/>
      <c r="BC112" s="173"/>
      <c r="BD112" s="173"/>
      <c r="BE112" s="173"/>
      <c r="BF112" s="173"/>
      <c r="BG112" s="173"/>
      <c r="BH112" s="173"/>
      <c r="BI112" s="173"/>
      <c r="BJ112" s="173"/>
      <c r="BK112" s="173"/>
      <c r="BL112" s="173"/>
      <c r="BM112" s="173"/>
      <c r="BN112" s="173"/>
      <c r="BO112" s="173"/>
      <c r="BP112" s="173"/>
      <c r="BQ112" s="173"/>
      <c r="BR112" s="173"/>
    </row>
    <row r="113" spans="1:70" hidden="1">
      <c r="A113" s="173"/>
      <c r="B113" s="70"/>
      <c r="C113" s="62"/>
      <c r="D113" s="63"/>
      <c r="E113" s="173"/>
      <c r="F113" s="173"/>
      <c r="G113" s="44">
        <f t="shared" ref="G113:G114" si="263">H113+M113+N113+O113+P113</f>
        <v>0</v>
      </c>
      <c r="H113" s="44">
        <f t="shared" ref="H113:H114" si="264">SUM(I113:L113)</f>
        <v>0</v>
      </c>
      <c r="I113" s="28"/>
      <c r="J113" s="28"/>
      <c r="K113" s="28"/>
      <c r="L113" s="28"/>
      <c r="M113" s="28"/>
      <c r="N113" s="28"/>
      <c r="O113" s="28"/>
      <c r="P113" s="28"/>
      <c r="Q113" s="39"/>
      <c r="R113" s="39"/>
      <c r="S113" s="39"/>
      <c r="T113" s="39"/>
      <c r="U113" s="39"/>
      <c r="V113" s="39"/>
      <c r="W113" s="39"/>
      <c r="X113" s="44">
        <f t="shared" ref="X113:X114" si="265">Y113+AN113+AQ113+AT113+AW113</f>
        <v>0</v>
      </c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  <c r="AK113" s="39"/>
      <c r="AL113" s="39"/>
      <c r="AM113" s="39"/>
      <c r="AN113" s="39"/>
      <c r="AO113" s="39"/>
      <c r="AP113" s="39"/>
      <c r="AQ113" s="39"/>
      <c r="AR113" s="39"/>
      <c r="AS113" s="39"/>
      <c r="AT113" s="39"/>
      <c r="AU113" s="39"/>
      <c r="AV113" s="39"/>
      <c r="AW113" s="39"/>
      <c r="AX113" s="39"/>
      <c r="AY113" s="39"/>
      <c r="AZ113" s="39"/>
      <c r="BA113" s="39"/>
      <c r="BB113" s="39"/>
      <c r="BC113" s="39"/>
      <c r="BD113" s="44">
        <f t="shared" ref="BD113:BD114" si="266">SUM(BE113:BI113)</f>
        <v>0</v>
      </c>
      <c r="BE113" s="39"/>
      <c r="BF113" s="39"/>
      <c r="BG113" s="39"/>
      <c r="BH113" s="39"/>
      <c r="BI113" s="39"/>
      <c r="BJ113" s="44">
        <f t="shared" ref="BJ113:BJ114" si="267">SUM(BK113:BO113)</f>
        <v>0</v>
      </c>
      <c r="BK113" s="39"/>
      <c r="BL113" s="39"/>
      <c r="BM113" s="39"/>
      <c r="BN113" s="39"/>
      <c r="BO113" s="39"/>
      <c r="BP113" s="173"/>
      <c r="BQ113" s="173"/>
      <c r="BR113" s="173"/>
    </row>
    <row r="114" spans="1:70" hidden="1">
      <c r="A114" s="173"/>
      <c r="B114" s="70"/>
      <c r="C114" s="62"/>
      <c r="D114" s="70"/>
      <c r="E114" s="173"/>
      <c r="F114" s="173"/>
      <c r="G114" s="44">
        <f t="shared" si="263"/>
        <v>0</v>
      </c>
      <c r="H114" s="44">
        <f t="shared" si="264"/>
        <v>0</v>
      </c>
      <c r="I114" s="28"/>
      <c r="J114" s="28"/>
      <c r="K114" s="28"/>
      <c r="L114" s="28"/>
      <c r="M114" s="28"/>
      <c r="N114" s="28"/>
      <c r="O114" s="28"/>
      <c r="P114" s="28"/>
      <c r="Q114" s="39"/>
      <c r="R114" s="39"/>
      <c r="S114" s="39"/>
      <c r="T114" s="39"/>
      <c r="U114" s="39"/>
      <c r="V114" s="39"/>
      <c r="W114" s="39"/>
      <c r="X114" s="44">
        <f t="shared" si="265"/>
        <v>0</v>
      </c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  <c r="AM114" s="39"/>
      <c r="AN114" s="39"/>
      <c r="AO114" s="39"/>
      <c r="AP114" s="39"/>
      <c r="AQ114" s="39"/>
      <c r="AR114" s="39"/>
      <c r="AS114" s="39"/>
      <c r="AT114" s="39"/>
      <c r="AU114" s="39"/>
      <c r="AV114" s="39"/>
      <c r="AW114" s="39"/>
      <c r="AX114" s="39"/>
      <c r="AY114" s="39"/>
      <c r="AZ114" s="39"/>
      <c r="BA114" s="39"/>
      <c r="BB114" s="39"/>
      <c r="BC114" s="39"/>
      <c r="BD114" s="44">
        <f t="shared" si="266"/>
        <v>0</v>
      </c>
      <c r="BE114" s="39"/>
      <c r="BF114" s="39"/>
      <c r="BG114" s="39"/>
      <c r="BH114" s="39"/>
      <c r="BI114" s="39"/>
      <c r="BJ114" s="44">
        <f t="shared" si="267"/>
        <v>0</v>
      </c>
      <c r="BK114" s="39"/>
      <c r="BL114" s="39"/>
      <c r="BM114" s="39"/>
      <c r="BN114" s="39"/>
      <c r="BO114" s="39"/>
      <c r="BP114" s="173"/>
      <c r="BQ114" s="173"/>
      <c r="BR114" s="173"/>
    </row>
    <row r="115" spans="1:70" hidden="1">
      <c r="A115" s="173"/>
      <c r="B115" s="70"/>
      <c r="C115" s="62" t="s">
        <v>95</v>
      </c>
      <c r="D115" s="70" t="s">
        <v>11</v>
      </c>
      <c r="E115" s="173"/>
      <c r="F115" s="173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27"/>
      <c r="X115" s="56"/>
      <c r="Y115" s="56"/>
      <c r="Z115" s="44">
        <f t="shared" ref="Z115:AY115" si="268">SUM(Z111:Z114)</f>
        <v>0</v>
      </c>
      <c r="AA115" s="44">
        <f t="shared" si="268"/>
        <v>0</v>
      </c>
      <c r="AB115" s="44">
        <f t="shared" si="268"/>
        <v>0</v>
      </c>
      <c r="AC115" s="44">
        <f t="shared" si="268"/>
        <v>0</v>
      </c>
      <c r="AD115" s="44">
        <f t="shared" si="268"/>
        <v>0</v>
      </c>
      <c r="AE115" s="44">
        <f t="shared" si="268"/>
        <v>0</v>
      </c>
      <c r="AF115" s="44">
        <f t="shared" si="268"/>
        <v>0</v>
      </c>
      <c r="AG115" s="44">
        <f t="shared" si="268"/>
        <v>0</v>
      </c>
      <c r="AH115" s="44">
        <f t="shared" si="268"/>
        <v>0</v>
      </c>
      <c r="AI115" s="44">
        <f t="shared" si="268"/>
        <v>0</v>
      </c>
      <c r="AJ115" s="44">
        <f t="shared" si="268"/>
        <v>0</v>
      </c>
      <c r="AK115" s="44">
        <f t="shared" si="268"/>
        <v>0</v>
      </c>
      <c r="AL115" s="44">
        <f t="shared" si="268"/>
        <v>0</v>
      </c>
      <c r="AM115" s="44">
        <f t="shared" si="268"/>
        <v>0</v>
      </c>
      <c r="AN115" s="44">
        <f t="shared" si="268"/>
        <v>0</v>
      </c>
      <c r="AO115" s="44">
        <f t="shared" si="268"/>
        <v>0</v>
      </c>
      <c r="AP115" s="44">
        <f t="shared" si="268"/>
        <v>0</v>
      </c>
      <c r="AQ115" s="44">
        <f t="shared" si="268"/>
        <v>0</v>
      </c>
      <c r="AR115" s="44">
        <f t="shared" si="268"/>
        <v>0</v>
      </c>
      <c r="AS115" s="44">
        <f t="shared" si="268"/>
        <v>0</v>
      </c>
      <c r="AT115" s="44">
        <f t="shared" si="268"/>
        <v>0</v>
      </c>
      <c r="AU115" s="44">
        <f t="shared" si="268"/>
        <v>0</v>
      </c>
      <c r="AV115" s="44">
        <f t="shared" si="268"/>
        <v>0</v>
      </c>
      <c r="AW115" s="44">
        <f t="shared" si="268"/>
        <v>0</v>
      </c>
      <c r="AX115" s="44">
        <f t="shared" si="268"/>
        <v>0</v>
      </c>
      <c r="AY115" s="44">
        <f t="shared" si="268"/>
        <v>0</v>
      </c>
      <c r="AZ115" s="27"/>
      <c r="BA115" s="27"/>
      <c r="BB115" s="27"/>
      <c r="BC115" s="27"/>
      <c r="BD115" s="44">
        <f t="shared" ref="BD115:BO115" si="269">SUM(BD111:BD114)</f>
        <v>0</v>
      </c>
      <c r="BE115" s="44">
        <f t="shared" si="269"/>
        <v>0</v>
      </c>
      <c r="BF115" s="44">
        <f t="shared" si="269"/>
        <v>0</v>
      </c>
      <c r="BG115" s="44">
        <f t="shared" si="269"/>
        <v>0</v>
      </c>
      <c r="BH115" s="44">
        <f t="shared" si="269"/>
        <v>0</v>
      </c>
      <c r="BI115" s="44">
        <f t="shared" si="269"/>
        <v>0</v>
      </c>
      <c r="BJ115" s="44">
        <f t="shared" si="269"/>
        <v>0</v>
      </c>
      <c r="BK115" s="44">
        <f t="shared" si="269"/>
        <v>0</v>
      </c>
      <c r="BL115" s="44">
        <f t="shared" si="269"/>
        <v>0</v>
      </c>
      <c r="BM115" s="44">
        <f t="shared" si="269"/>
        <v>0</v>
      </c>
      <c r="BN115" s="44">
        <f t="shared" si="269"/>
        <v>0</v>
      </c>
      <c r="BO115" s="44">
        <f t="shared" si="269"/>
        <v>0</v>
      </c>
      <c r="BP115" s="173"/>
      <c r="BQ115" s="173"/>
      <c r="BR115" s="173"/>
    </row>
    <row r="116" spans="1:70" hidden="1">
      <c r="A116" s="173"/>
      <c r="B116" s="70"/>
      <c r="C116" s="71" t="s">
        <v>78</v>
      </c>
      <c r="D116" s="72" t="s">
        <v>96</v>
      </c>
      <c r="E116" s="173"/>
      <c r="F116" s="173"/>
      <c r="G116" s="173"/>
      <c r="H116" s="173"/>
      <c r="I116" s="173"/>
      <c r="J116" s="173"/>
      <c r="K116" s="173"/>
      <c r="L116" s="173"/>
      <c r="M116" s="173"/>
      <c r="N116" s="173"/>
      <c r="O116" s="173"/>
      <c r="P116" s="173"/>
      <c r="Q116" s="173"/>
      <c r="R116" s="173"/>
      <c r="S116" s="173"/>
      <c r="T116" s="173"/>
      <c r="U116" s="173"/>
      <c r="V116" s="173"/>
      <c r="W116" s="173"/>
      <c r="X116" s="173"/>
      <c r="Y116" s="173"/>
      <c r="Z116" s="173"/>
      <c r="AA116" s="173"/>
      <c r="AB116" s="173"/>
      <c r="AC116" s="173"/>
      <c r="AD116" s="173"/>
      <c r="AE116" s="173"/>
      <c r="AF116" s="173"/>
      <c r="AG116" s="173"/>
      <c r="AH116" s="173"/>
      <c r="AI116" s="173"/>
      <c r="AJ116" s="173"/>
      <c r="AK116" s="173"/>
      <c r="AL116" s="173"/>
      <c r="AM116" s="173"/>
      <c r="AN116" s="173"/>
      <c r="AO116" s="173"/>
      <c r="AP116" s="173"/>
      <c r="AQ116" s="173"/>
      <c r="AR116" s="173"/>
      <c r="AS116" s="173"/>
      <c r="AT116" s="173"/>
      <c r="AU116" s="173"/>
      <c r="AV116" s="173"/>
      <c r="AW116" s="173"/>
      <c r="AX116" s="173"/>
      <c r="AY116" s="173"/>
      <c r="AZ116" s="173"/>
      <c r="BA116" s="173"/>
      <c r="BB116" s="173"/>
      <c r="BC116" s="173"/>
      <c r="BD116" s="173"/>
      <c r="BE116" s="173"/>
      <c r="BF116" s="173"/>
      <c r="BG116" s="173"/>
      <c r="BH116" s="173"/>
      <c r="BI116" s="173"/>
      <c r="BJ116" s="173"/>
      <c r="BK116" s="173"/>
      <c r="BL116" s="173"/>
      <c r="BM116" s="173"/>
      <c r="BN116" s="173"/>
      <c r="BO116" s="173"/>
      <c r="BP116" s="173"/>
      <c r="BQ116" s="173"/>
      <c r="BR116" s="173"/>
    </row>
    <row r="117" spans="1:70" hidden="1">
      <c r="A117" s="173"/>
      <c r="B117" s="70"/>
      <c r="C117" s="62" t="s">
        <v>271</v>
      </c>
      <c r="D117" s="63" t="s">
        <v>266</v>
      </c>
      <c r="E117" s="173"/>
      <c r="F117" s="173"/>
      <c r="G117" s="173"/>
      <c r="H117" s="173"/>
      <c r="I117" s="173"/>
      <c r="J117" s="173"/>
      <c r="K117" s="173"/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3"/>
      <c r="AK117" s="173"/>
      <c r="AL117" s="173"/>
      <c r="AM117" s="173"/>
      <c r="AN117" s="173"/>
      <c r="AO117" s="173"/>
      <c r="AP117" s="173"/>
      <c r="AQ117" s="173"/>
      <c r="AR117" s="173"/>
      <c r="AS117" s="173"/>
      <c r="AT117" s="173"/>
      <c r="AU117" s="173"/>
      <c r="AV117" s="173"/>
      <c r="AW117" s="173"/>
      <c r="AX117" s="173"/>
      <c r="AY117" s="173"/>
      <c r="AZ117" s="173"/>
      <c r="BA117" s="173"/>
      <c r="BB117" s="173"/>
      <c r="BC117" s="173"/>
      <c r="BD117" s="173"/>
      <c r="BE117" s="173"/>
      <c r="BF117" s="173"/>
      <c r="BG117" s="173"/>
      <c r="BH117" s="173"/>
      <c r="BI117" s="173"/>
      <c r="BJ117" s="173"/>
      <c r="BK117" s="173"/>
      <c r="BL117" s="173"/>
      <c r="BM117" s="173"/>
      <c r="BN117" s="173"/>
      <c r="BO117" s="173"/>
      <c r="BP117" s="173"/>
      <c r="BQ117" s="173"/>
      <c r="BR117" s="173"/>
    </row>
    <row r="118" spans="1:70" hidden="1">
      <c r="A118" s="173"/>
      <c r="B118" s="70"/>
      <c r="C118" s="62"/>
      <c r="D118" s="63"/>
      <c r="E118" s="173"/>
      <c r="F118" s="173"/>
      <c r="G118" s="44">
        <f t="shared" ref="G118:G119" si="270">H118+M118+N118+O118+P118</f>
        <v>0</v>
      </c>
      <c r="H118" s="44">
        <f t="shared" ref="H118:H119" si="271">SUM(I118:L118)</f>
        <v>0</v>
      </c>
      <c r="I118" s="28"/>
      <c r="J118" s="28"/>
      <c r="K118" s="28"/>
      <c r="L118" s="28"/>
      <c r="M118" s="28"/>
      <c r="N118" s="28"/>
      <c r="O118" s="28"/>
      <c r="P118" s="28"/>
      <c r="Q118" s="39"/>
      <c r="R118" s="39"/>
      <c r="S118" s="39"/>
      <c r="T118" s="39"/>
      <c r="U118" s="39"/>
      <c r="V118" s="39"/>
      <c r="W118" s="39"/>
      <c r="X118" s="44">
        <f t="shared" ref="X118:X119" si="272">Y118+AN118+AQ118+AT118+AW118</f>
        <v>0</v>
      </c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  <c r="AM118" s="39"/>
      <c r="AN118" s="39"/>
      <c r="AO118" s="39"/>
      <c r="AP118" s="39"/>
      <c r="AQ118" s="39"/>
      <c r="AR118" s="39"/>
      <c r="AS118" s="39"/>
      <c r="AT118" s="39"/>
      <c r="AU118" s="39"/>
      <c r="AV118" s="39"/>
      <c r="AW118" s="39"/>
      <c r="AX118" s="39"/>
      <c r="AY118" s="39"/>
      <c r="AZ118" s="39"/>
      <c r="BA118" s="39"/>
      <c r="BB118" s="39"/>
      <c r="BC118" s="39"/>
      <c r="BD118" s="44">
        <f t="shared" ref="BD118:BD119" si="273">SUM(BE118:BI118)</f>
        <v>0</v>
      </c>
      <c r="BE118" s="39"/>
      <c r="BF118" s="39"/>
      <c r="BG118" s="39"/>
      <c r="BH118" s="39"/>
      <c r="BI118" s="39"/>
      <c r="BJ118" s="44">
        <f t="shared" ref="BJ118:BJ119" si="274">SUM(BK118:BO118)</f>
        <v>0</v>
      </c>
      <c r="BK118" s="39"/>
      <c r="BL118" s="39"/>
      <c r="BM118" s="39"/>
      <c r="BN118" s="39"/>
      <c r="BO118" s="39"/>
      <c r="BP118" s="173"/>
      <c r="BQ118" s="173"/>
      <c r="BR118" s="173"/>
    </row>
    <row r="119" spans="1:70" hidden="1">
      <c r="A119" s="173"/>
      <c r="B119" s="70"/>
      <c r="C119" s="62"/>
      <c r="D119" s="70"/>
      <c r="E119" s="173"/>
      <c r="F119" s="173"/>
      <c r="G119" s="44">
        <f t="shared" si="270"/>
        <v>0</v>
      </c>
      <c r="H119" s="44">
        <f t="shared" si="271"/>
        <v>0</v>
      </c>
      <c r="I119" s="28"/>
      <c r="J119" s="28"/>
      <c r="K119" s="28"/>
      <c r="L119" s="28"/>
      <c r="M119" s="28"/>
      <c r="N119" s="28"/>
      <c r="O119" s="28"/>
      <c r="P119" s="28"/>
      <c r="Q119" s="39"/>
      <c r="R119" s="39"/>
      <c r="S119" s="39"/>
      <c r="T119" s="39"/>
      <c r="U119" s="39"/>
      <c r="V119" s="39"/>
      <c r="W119" s="39"/>
      <c r="X119" s="44">
        <f t="shared" si="272"/>
        <v>0</v>
      </c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  <c r="AM119" s="39"/>
      <c r="AN119" s="39"/>
      <c r="AO119" s="39"/>
      <c r="AP119" s="39"/>
      <c r="AQ119" s="39"/>
      <c r="AR119" s="39"/>
      <c r="AS119" s="39"/>
      <c r="AT119" s="39"/>
      <c r="AU119" s="39"/>
      <c r="AV119" s="39"/>
      <c r="AW119" s="39"/>
      <c r="AX119" s="39"/>
      <c r="AY119" s="39"/>
      <c r="AZ119" s="39"/>
      <c r="BA119" s="39"/>
      <c r="BB119" s="39"/>
      <c r="BC119" s="39"/>
      <c r="BD119" s="44">
        <f t="shared" si="273"/>
        <v>0</v>
      </c>
      <c r="BE119" s="39"/>
      <c r="BF119" s="39"/>
      <c r="BG119" s="39"/>
      <c r="BH119" s="39"/>
      <c r="BI119" s="39"/>
      <c r="BJ119" s="44">
        <f t="shared" si="274"/>
        <v>0</v>
      </c>
      <c r="BK119" s="39"/>
      <c r="BL119" s="39"/>
      <c r="BM119" s="39"/>
      <c r="BN119" s="39"/>
      <c r="BO119" s="39"/>
      <c r="BP119" s="173"/>
      <c r="BQ119" s="173"/>
      <c r="BR119" s="173"/>
    </row>
    <row r="120" spans="1:70" hidden="1">
      <c r="A120" s="173"/>
      <c r="B120" s="70"/>
      <c r="C120" s="62" t="s">
        <v>95</v>
      </c>
      <c r="D120" s="70" t="s">
        <v>11</v>
      </c>
      <c r="E120" s="173"/>
      <c r="F120" s="173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27"/>
      <c r="X120" s="56"/>
      <c r="Y120" s="56"/>
      <c r="Z120" s="44">
        <f t="shared" ref="Z120:AY120" si="275">SUM(Z116:Z119)</f>
        <v>0</v>
      </c>
      <c r="AA120" s="44">
        <f t="shared" si="275"/>
        <v>0</v>
      </c>
      <c r="AB120" s="44">
        <f t="shared" si="275"/>
        <v>0</v>
      </c>
      <c r="AC120" s="44">
        <f t="shared" si="275"/>
        <v>0</v>
      </c>
      <c r="AD120" s="44">
        <f t="shared" si="275"/>
        <v>0</v>
      </c>
      <c r="AE120" s="44">
        <f t="shared" si="275"/>
        <v>0</v>
      </c>
      <c r="AF120" s="44">
        <f t="shared" si="275"/>
        <v>0</v>
      </c>
      <c r="AG120" s="44">
        <f t="shared" si="275"/>
        <v>0</v>
      </c>
      <c r="AH120" s="44">
        <f t="shared" si="275"/>
        <v>0</v>
      </c>
      <c r="AI120" s="44">
        <f t="shared" si="275"/>
        <v>0</v>
      </c>
      <c r="AJ120" s="44">
        <f t="shared" si="275"/>
        <v>0</v>
      </c>
      <c r="AK120" s="44">
        <f t="shared" si="275"/>
        <v>0</v>
      </c>
      <c r="AL120" s="44">
        <f t="shared" si="275"/>
        <v>0</v>
      </c>
      <c r="AM120" s="44">
        <f t="shared" si="275"/>
        <v>0</v>
      </c>
      <c r="AN120" s="44">
        <f t="shared" si="275"/>
        <v>0</v>
      </c>
      <c r="AO120" s="44">
        <f t="shared" si="275"/>
        <v>0</v>
      </c>
      <c r="AP120" s="44">
        <f t="shared" si="275"/>
        <v>0</v>
      </c>
      <c r="AQ120" s="44">
        <f t="shared" si="275"/>
        <v>0</v>
      </c>
      <c r="AR120" s="44">
        <f t="shared" si="275"/>
        <v>0</v>
      </c>
      <c r="AS120" s="44">
        <f t="shared" si="275"/>
        <v>0</v>
      </c>
      <c r="AT120" s="44">
        <f t="shared" si="275"/>
        <v>0</v>
      </c>
      <c r="AU120" s="44">
        <f t="shared" si="275"/>
        <v>0</v>
      </c>
      <c r="AV120" s="44">
        <f t="shared" si="275"/>
        <v>0</v>
      </c>
      <c r="AW120" s="44">
        <f t="shared" si="275"/>
        <v>0</v>
      </c>
      <c r="AX120" s="44">
        <f t="shared" si="275"/>
        <v>0</v>
      </c>
      <c r="AY120" s="44">
        <f t="shared" si="275"/>
        <v>0</v>
      </c>
      <c r="AZ120" s="27"/>
      <c r="BA120" s="27"/>
      <c r="BB120" s="27"/>
      <c r="BC120" s="27"/>
      <c r="BD120" s="44">
        <f t="shared" ref="BD120:BO120" si="276">SUM(BD116:BD119)</f>
        <v>0</v>
      </c>
      <c r="BE120" s="44">
        <f t="shared" si="276"/>
        <v>0</v>
      </c>
      <c r="BF120" s="44">
        <f t="shared" si="276"/>
        <v>0</v>
      </c>
      <c r="BG120" s="44">
        <f t="shared" si="276"/>
        <v>0</v>
      </c>
      <c r="BH120" s="44">
        <f t="shared" si="276"/>
        <v>0</v>
      </c>
      <c r="BI120" s="44">
        <f t="shared" si="276"/>
        <v>0</v>
      </c>
      <c r="BJ120" s="44">
        <f t="shared" si="276"/>
        <v>0</v>
      </c>
      <c r="BK120" s="44">
        <f t="shared" si="276"/>
        <v>0</v>
      </c>
      <c r="BL120" s="44">
        <f t="shared" si="276"/>
        <v>0</v>
      </c>
      <c r="BM120" s="44">
        <f t="shared" si="276"/>
        <v>0</v>
      </c>
      <c r="BN120" s="44">
        <f t="shared" si="276"/>
        <v>0</v>
      </c>
      <c r="BO120" s="44">
        <f t="shared" si="276"/>
        <v>0</v>
      </c>
      <c r="BP120" s="173"/>
      <c r="BQ120" s="173"/>
      <c r="BR120" s="173"/>
    </row>
    <row r="121" spans="1:70" hidden="1">
      <c r="A121" s="173"/>
      <c r="B121" s="70"/>
      <c r="C121" s="62" t="s">
        <v>272</v>
      </c>
      <c r="D121" s="63" t="s">
        <v>269</v>
      </c>
      <c r="E121" s="173"/>
      <c r="F121" s="173"/>
      <c r="G121" s="173"/>
      <c r="H121" s="173"/>
      <c r="I121" s="173"/>
      <c r="J121" s="173"/>
      <c r="K121" s="173"/>
      <c r="L121" s="173"/>
      <c r="M121" s="173"/>
      <c r="N121" s="173"/>
      <c r="O121" s="173"/>
      <c r="P121" s="173"/>
      <c r="Q121" s="173"/>
      <c r="R121" s="173"/>
      <c r="S121" s="173"/>
      <c r="T121" s="173"/>
      <c r="U121" s="173"/>
      <c r="V121" s="173"/>
      <c r="W121" s="173"/>
      <c r="X121" s="173"/>
      <c r="Y121" s="173"/>
      <c r="Z121" s="173"/>
      <c r="AA121" s="173"/>
      <c r="AB121" s="173"/>
      <c r="AC121" s="173"/>
      <c r="AD121" s="173"/>
      <c r="AE121" s="173"/>
      <c r="AF121" s="173"/>
      <c r="AG121" s="173"/>
      <c r="AH121" s="173"/>
      <c r="AI121" s="173"/>
      <c r="AJ121" s="173"/>
      <c r="AK121" s="173"/>
      <c r="AL121" s="173"/>
      <c r="AM121" s="173"/>
      <c r="AN121" s="173"/>
      <c r="AO121" s="173"/>
      <c r="AP121" s="173"/>
      <c r="AQ121" s="173"/>
      <c r="AR121" s="173"/>
      <c r="AS121" s="173"/>
      <c r="AT121" s="173"/>
      <c r="AU121" s="173"/>
      <c r="AV121" s="173"/>
      <c r="AW121" s="173"/>
      <c r="AX121" s="173"/>
      <c r="AY121" s="173"/>
      <c r="AZ121" s="173"/>
      <c r="BA121" s="173"/>
      <c r="BB121" s="173"/>
      <c r="BC121" s="173"/>
      <c r="BD121" s="173"/>
      <c r="BE121" s="173"/>
      <c r="BF121" s="173"/>
      <c r="BG121" s="173"/>
      <c r="BH121" s="173"/>
      <c r="BI121" s="173"/>
      <c r="BJ121" s="173"/>
      <c r="BK121" s="173"/>
      <c r="BL121" s="173"/>
      <c r="BM121" s="173"/>
      <c r="BN121" s="173"/>
      <c r="BO121" s="173"/>
      <c r="BP121" s="173"/>
      <c r="BQ121" s="173"/>
      <c r="BR121" s="173"/>
    </row>
    <row r="122" spans="1:70" hidden="1">
      <c r="A122" s="173"/>
      <c r="B122" s="70"/>
      <c r="C122" s="62"/>
      <c r="D122" s="63"/>
      <c r="E122" s="173"/>
      <c r="F122" s="173"/>
      <c r="G122" s="44">
        <f t="shared" ref="G122:G123" si="277">H122+M122+N122+O122+P122</f>
        <v>0</v>
      </c>
      <c r="H122" s="44">
        <f t="shared" ref="H122:H123" si="278">SUM(I122:L122)</f>
        <v>0</v>
      </c>
      <c r="I122" s="28"/>
      <c r="J122" s="28"/>
      <c r="K122" s="28"/>
      <c r="L122" s="28"/>
      <c r="M122" s="28"/>
      <c r="N122" s="28"/>
      <c r="O122" s="28"/>
      <c r="P122" s="28"/>
      <c r="Q122" s="39"/>
      <c r="R122" s="39"/>
      <c r="S122" s="39"/>
      <c r="T122" s="39"/>
      <c r="U122" s="39"/>
      <c r="V122" s="39"/>
      <c r="W122" s="39"/>
      <c r="X122" s="44">
        <f t="shared" ref="X122:X123" si="279">Y122+AN122+AQ122+AT122+AW122</f>
        <v>0</v>
      </c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  <c r="AN122" s="39"/>
      <c r="AO122" s="39"/>
      <c r="AP122" s="39"/>
      <c r="AQ122" s="39"/>
      <c r="AR122" s="39"/>
      <c r="AS122" s="39"/>
      <c r="AT122" s="39"/>
      <c r="AU122" s="39"/>
      <c r="AV122" s="39"/>
      <c r="AW122" s="39"/>
      <c r="AX122" s="39"/>
      <c r="AY122" s="39"/>
      <c r="AZ122" s="39"/>
      <c r="BA122" s="39"/>
      <c r="BB122" s="39"/>
      <c r="BC122" s="39"/>
      <c r="BD122" s="44">
        <f t="shared" ref="BD122:BD123" si="280">SUM(BE122:BI122)</f>
        <v>0</v>
      </c>
      <c r="BE122" s="39"/>
      <c r="BF122" s="39"/>
      <c r="BG122" s="39"/>
      <c r="BH122" s="39"/>
      <c r="BI122" s="39"/>
      <c r="BJ122" s="44">
        <f t="shared" ref="BJ122:BJ123" si="281">SUM(BK122:BO122)</f>
        <v>0</v>
      </c>
      <c r="BK122" s="39"/>
      <c r="BL122" s="39"/>
      <c r="BM122" s="39"/>
      <c r="BN122" s="39"/>
      <c r="BO122" s="39"/>
      <c r="BP122" s="173"/>
      <c r="BQ122" s="173"/>
      <c r="BR122" s="173"/>
    </row>
    <row r="123" spans="1:70" hidden="1">
      <c r="A123" s="173"/>
      <c r="B123" s="70"/>
      <c r="C123" s="62"/>
      <c r="D123" s="70"/>
      <c r="E123" s="173"/>
      <c r="F123" s="173"/>
      <c r="G123" s="44">
        <f t="shared" si="277"/>
        <v>0</v>
      </c>
      <c r="H123" s="44">
        <f t="shared" si="278"/>
        <v>0</v>
      </c>
      <c r="I123" s="28"/>
      <c r="J123" s="28"/>
      <c r="K123" s="28"/>
      <c r="L123" s="28"/>
      <c r="M123" s="28"/>
      <c r="N123" s="28"/>
      <c r="O123" s="28"/>
      <c r="P123" s="28"/>
      <c r="Q123" s="39"/>
      <c r="R123" s="39"/>
      <c r="S123" s="39"/>
      <c r="T123" s="39"/>
      <c r="U123" s="39"/>
      <c r="V123" s="39"/>
      <c r="W123" s="39"/>
      <c r="X123" s="44">
        <f t="shared" si="279"/>
        <v>0</v>
      </c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  <c r="AM123" s="39"/>
      <c r="AN123" s="39"/>
      <c r="AO123" s="39"/>
      <c r="AP123" s="39"/>
      <c r="AQ123" s="39"/>
      <c r="AR123" s="39"/>
      <c r="AS123" s="39"/>
      <c r="AT123" s="39"/>
      <c r="AU123" s="39"/>
      <c r="AV123" s="39"/>
      <c r="AW123" s="39"/>
      <c r="AX123" s="39"/>
      <c r="AY123" s="39"/>
      <c r="AZ123" s="39"/>
      <c r="BA123" s="39"/>
      <c r="BB123" s="39"/>
      <c r="BC123" s="39"/>
      <c r="BD123" s="44">
        <f t="shared" si="280"/>
        <v>0</v>
      </c>
      <c r="BE123" s="39"/>
      <c r="BF123" s="39"/>
      <c r="BG123" s="39"/>
      <c r="BH123" s="39"/>
      <c r="BI123" s="39"/>
      <c r="BJ123" s="44">
        <f t="shared" si="281"/>
        <v>0</v>
      </c>
      <c r="BK123" s="39"/>
      <c r="BL123" s="39"/>
      <c r="BM123" s="39"/>
      <c r="BN123" s="39"/>
      <c r="BO123" s="39"/>
      <c r="BP123" s="173"/>
      <c r="BQ123" s="173"/>
      <c r="BR123" s="173"/>
    </row>
    <row r="124" spans="1:70" hidden="1">
      <c r="A124" s="173"/>
      <c r="B124" s="70"/>
      <c r="C124" s="62" t="s">
        <v>95</v>
      </c>
      <c r="D124" s="70" t="s">
        <v>11</v>
      </c>
      <c r="E124" s="173"/>
      <c r="F124" s="173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27"/>
      <c r="X124" s="56"/>
      <c r="Y124" s="56"/>
      <c r="Z124" s="44">
        <f t="shared" ref="Z124:AY124" si="282">SUM(Z120:Z123)</f>
        <v>0</v>
      </c>
      <c r="AA124" s="44">
        <f t="shared" si="282"/>
        <v>0</v>
      </c>
      <c r="AB124" s="44">
        <f t="shared" si="282"/>
        <v>0</v>
      </c>
      <c r="AC124" s="44">
        <f t="shared" si="282"/>
        <v>0</v>
      </c>
      <c r="AD124" s="44">
        <f t="shared" si="282"/>
        <v>0</v>
      </c>
      <c r="AE124" s="44">
        <f t="shared" si="282"/>
        <v>0</v>
      </c>
      <c r="AF124" s="44">
        <f t="shared" si="282"/>
        <v>0</v>
      </c>
      <c r="AG124" s="44">
        <f t="shared" si="282"/>
        <v>0</v>
      </c>
      <c r="AH124" s="44">
        <f t="shared" si="282"/>
        <v>0</v>
      </c>
      <c r="AI124" s="44">
        <f t="shared" si="282"/>
        <v>0</v>
      </c>
      <c r="AJ124" s="44">
        <f t="shared" si="282"/>
        <v>0</v>
      </c>
      <c r="AK124" s="44">
        <f t="shared" si="282"/>
        <v>0</v>
      </c>
      <c r="AL124" s="44">
        <f t="shared" si="282"/>
        <v>0</v>
      </c>
      <c r="AM124" s="44">
        <f t="shared" si="282"/>
        <v>0</v>
      </c>
      <c r="AN124" s="44">
        <f t="shared" si="282"/>
        <v>0</v>
      </c>
      <c r="AO124" s="44">
        <f t="shared" si="282"/>
        <v>0</v>
      </c>
      <c r="AP124" s="44">
        <f t="shared" si="282"/>
        <v>0</v>
      </c>
      <c r="AQ124" s="44">
        <f t="shared" si="282"/>
        <v>0</v>
      </c>
      <c r="AR124" s="44">
        <f t="shared" si="282"/>
        <v>0</v>
      </c>
      <c r="AS124" s="44">
        <f t="shared" si="282"/>
        <v>0</v>
      </c>
      <c r="AT124" s="44">
        <f t="shared" si="282"/>
        <v>0</v>
      </c>
      <c r="AU124" s="44">
        <f t="shared" si="282"/>
        <v>0</v>
      </c>
      <c r="AV124" s="44">
        <f t="shared" si="282"/>
        <v>0</v>
      </c>
      <c r="AW124" s="44">
        <f t="shared" si="282"/>
        <v>0</v>
      </c>
      <c r="AX124" s="44">
        <f t="shared" si="282"/>
        <v>0</v>
      </c>
      <c r="AY124" s="44">
        <f t="shared" si="282"/>
        <v>0</v>
      </c>
      <c r="AZ124" s="27"/>
      <c r="BA124" s="27"/>
      <c r="BB124" s="27"/>
      <c r="BC124" s="27"/>
      <c r="BD124" s="44">
        <f t="shared" ref="BD124:BO124" si="283">SUM(BD120:BD123)</f>
        <v>0</v>
      </c>
      <c r="BE124" s="44">
        <f t="shared" si="283"/>
        <v>0</v>
      </c>
      <c r="BF124" s="44">
        <f t="shared" si="283"/>
        <v>0</v>
      </c>
      <c r="BG124" s="44">
        <f t="shared" si="283"/>
        <v>0</v>
      </c>
      <c r="BH124" s="44">
        <f>SUM(BH120:BH123)</f>
        <v>0</v>
      </c>
      <c r="BI124" s="44">
        <f t="shared" si="283"/>
        <v>0</v>
      </c>
      <c r="BJ124" s="44">
        <f t="shared" si="283"/>
        <v>0</v>
      </c>
      <c r="BK124" s="44">
        <f t="shared" si="283"/>
        <v>0</v>
      </c>
      <c r="BL124" s="44">
        <f t="shared" si="283"/>
        <v>0</v>
      </c>
      <c r="BM124" s="44">
        <f t="shared" si="283"/>
        <v>0</v>
      </c>
      <c r="BN124" s="44">
        <f t="shared" si="283"/>
        <v>0</v>
      </c>
      <c r="BO124" s="44">
        <f t="shared" si="283"/>
        <v>0</v>
      </c>
      <c r="BP124" s="173"/>
      <c r="BQ124" s="173"/>
      <c r="BR124" s="173"/>
    </row>
    <row r="125" spans="1:70" hidden="1">
      <c r="A125" s="173"/>
      <c r="B125" s="70"/>
      <c r="C125" s="62" t="s">
        <v>273</v>
      </c>
      <c r="D125" s="63" t="s">
        <v>270</v>
      </c>
      <c r="E125" s="173"/>
      <c r="F125" s="173"/>
      <c r="G125" s="173"/>
      <c r="H125" s="173"/>
      <c r="I125" s="173"/>
      <c r="J125" s="173"/>
      <c r="K125" s="173"/>
      <c r="L125" s="173"/>
      <c r="M125" s="173"/>
      <c r="N125" s="173"/>
      <c r="O125" s="173"/>
      <c r="P125" s="173"/>
      <c r="Q125" s="173"/>
      <c r="R125" s="173"/>
      <c r="S125" s="173"/>
      <c r="T125" s="173"/>
      <c r="U125" s="173"/>
      <c r="V125" s="173"/>
      <c r="W125" s="173"/>
      <c r="X125" s="173"/>
      <c r="Y125" s="173"/>
      <c r="Z125" s="173"/>
      <c r="AA125" s="173"/>
      <c r="AB125" s="173"/>
      <c r="AC125" s="173"/>
      <c r="AD125" s="173"/>
      <c r="AE125" s="173"/>
      <c r="AF125" s="173"/>
      <c r="AG125" s="173"/>
      <c r="AH125" s="173"/>
      <c r="AI125" s="173"/>
      <c r="AJ125" s="173"/>
      <c r="AK125" s="173"/>
      <c r="AL125" s="173"/>
      <c r="AM125" s="173"/>
      <c r="AN125" s="173"/>
      <c r="AO125" s="173"/>
      <c r="AP125" s="173"/>
      <c r="AQ125" s="173"/>
      <c r="AR125" s="173"/>
      <c r="AS125" s="173"/>
      <c r="AT125" s="173"/>
      <c r="AU125" s="173"/>
      <c r="AV125" s="173"/>
      <c r="AW125" s="173"/>
      <c r="AX125" s="173"/>
      <c r="AY125" s="173"/>
      <c r="AZ125" s="173"/>
      <c r="BA125" s="173"/>
      <c r="BB125" s="173"/>
      <c r="BC125" s="173"/>
      <c r="BD125" s="173"/>
      <c r="BE125" s="173"/>
      <c r="BF125" s="173"/>
      <c r="BG125" s="173"/>
      <c r="BH125" s="173"/>
      <c r="BI125" s="173"/>
      <c r="BJ125" s="173"/>
      <c r="BK125" s="173"/>
      <c r="BL125" s="173"/>
      <c r="BM125" s="173"/>
      <c r="BN125" s="173"/>
      <c r="BO125" s="173"/>
      <c r="BP125" s="173"/>
      <c r="BQ125" s="173"/>
      <c r="BR125" s="173"/>
    </row>
    <row r="126" spans="1:70" hidden="1">
      <c r="A126" s="173"/>
      <c r="B126" s="70"/>
      <c r="C126" s="62"/>
      <c r="D126" s="63"/>
      <c r="E126" s="173"/>
      <c r="F126" s="173"/>
      <c r="G126" s="44">
        <f t="shared" ref="G126:G127" si="284">H126+M126+N126+O126+P126</f>
        <v>0</v>
      </c>
      <c r="H126" s="44">
        <f t="shared" ref="H126:H127" si="285">SUM(I126:L126)</f>
        <v>0</v>
      </c>
      <c r="I126" s="28"/>
      <c r="J126" s="28"/>
      <c r="K126" s="28"/>
      <c r="L126" s="28"/>
      <c r="M126" s="28"/>
      <c r="N126" s="28"/>
      <c r="O126" s="28"/>
      <c r="P126" s="28"/>
      <c r="Q126" s="39"/>
      <c r="R126" s="39"/>
      <c r="S126" s="39"/>
      <c r="T126" s="39"/>
      <c r="U126" s="39"/>
      <c r="V126" s="39"/>
      <c r="W126" s="39"/>
      <c r="X126" s="44">
        <f t="shared" ref="X126:X127" si="286">Y126+AN126+AQ126+AT126+AW126</f>
        <v>0</v>
      </c>
      <c r="Y126" s="39"/>
      <c r="Z126" s="39"/>
      <c r="AA126" s="39"/>
      <c r="AB126" s="39"/>
      <c r="AC126" s="39"/>
      <c r="AD126" s="39"/>
      <c r="AE126" s="39"/>
      <c r="AF126" s="39"/>
      <c r="AG126" s="39"/>
      <c r="AH126" s="39"/>
      <c r="AI126" s="39"/>
      <c r="AJ126" s="39"/>
      <c r="AK126" s="39"/>
      <c r="AL126" s="39"/>
      <c r="AM126" s="39"/>
      <c r="AN126" s="39"/>
      <c r="AO126" s="39"/>
      <c r="AP126" s="39"/>
      <c r="AQ126" s="39"/>
      <c r="AR126" s="39"/>
      <c r="AS126" s="39"/>
      <c r="AT126" s="39"/>
      <c r="AU126" s="39"/>
      <c r="AV126" s="39"/>
      <c r="AW126" s="39"/>
      <c r="AX126" s="39"/>
      <c r="AY126" s="39"/>
      <c r="AZ126" s="39"/>
      <c r="BA126" s="39"/>
      <c r="BB126" s="39"/>
      <c r="BC126" s="39"/>
      <c r="BD126" s="44">
        <f t="shared" ref="BD126:BD127" si="287">SUM(BE126:BI126)</f>
        <v>0</v>
      </c>
      <c r="BE126" s="39"/>
      <c r="BF126" s="39"/>
      <c r="BG126" s="39"/>
      <c r="BH126" s="39"/>
      <c r="BI126" s="39"/>
      <c r="BJ126" s="44">
        <f t="shared" ref="BJ126:BJ127" si="288">SUM(BK126:BO126)</f>
        <v>0</v>
      </c>
      <c r="BK126" s="39"/>
      <c r="BL126" s="39"/>
      <c r="BM126" s="39"/>
      <c r="BN126" s="39"/>
      <c r="BO126" s="39"/>
      <c r="BP126" s="173"/>
      <c r="BQ126" s="173"/>
      <c r="BR126" s="173"/>
    </row>
    <row r="127" spans="1:70" hidden="1">
      <c r="A127" s="173"/>
      <c r="B127" s="70"/>
      <c r="C127" s="62"/>
      <c r="D127" s="70"/>
      <c r="E127" s="173"/>
      <c r="F127" s="173"/>
      <c r="G127" s="44">
        <f t="shared" si="284"/>
        <v>0</v>
      </c>
      <c r="H127" s="44">
        <f t="shared" si="285"/>
        <v>0</v>
      </c>
      <c r="I127" s="28"/>
      <c r="J127" s="28"/>
      <c r="K127" s="28"/>
      <c r="L127" s="28"/>
      <c r="M127" s="28"/>
      <c r="N127" s="28"/>
      <c r="O127" s="28"/>
      <c r="P127" s="28"/>
      <c r="Q127" s="39"/>
      <c r="R127" s="39"/>
      <c r="S127" s="39"/>
      <c r="T127" s="39"/>
      <c r="U127" s="39"/>
      <c r="V127" s="39"/>
      <c r="W127" s="39"/>
      <c r="X127" s="44">
        <f t="shared" si="286"/>
        <v>0</v>
      </c>
      <c r="Y127" s="39"/>
      <c r="Z127" s="39"/>
      <c r="AA127" s="39"/>
      <c r="AB127" s="39"/>
      <c r="AC127" s="39"/>
      <c r="AD127" s="39"/>
      <c r="AE127" s="39"/>
      <c r="AF127" s="39"/>
      <c r="AG127" s="39"/>
      <c r="AH127" s="39"/>
      <c r="AI127" s="39"/>
      <c r="AJ127" s="39"/>
      <c r="AK127" s="39"/>
      <c r="AL127" s="39"/>
      <c r="AM127" s="39"/>
      <c r="AN127" s="39"/>
      <c r="AO127" s="39"/>
      <c r="AP127" s="39"/>
      <c r="AQ127" s="39"/>
      <c r="AR127" s="39"/>
      <c r="AS127" s="39"/>
      <c r="AT127" s="39"/>
      <c r="AU127" s="39"/>
      <c r="AV127" s="39"/>
      <c r="AW127" s="39"/>
      <c r="AX127" s="39"/>
      <c r="AY127" s="39"/>
      <c r="AZ127" s="39"/>
      <c r="BA127" s="39"/>
      <c r="BB127" s="39"/>
      <c r="BC127" s="39"/>
      <c r="BD127" s="44">
        <f t="shared" si="287"/>
        <v>0</v>
      </c>
      <c r="BE127" s="39"/>
      <c r="BF127" s="39"/>
      <c r="BG127" s="39"/>
      <c r="BH127" s="39"/>
      <c r="BI127" s="39"/>
      <c r="BJ127" s="44">
        <f t="shared" si="288"/>
        <v>0</v>
      </c>
      <c r="BK127" s="39"/>
      <c r="BL127" s="39"/>
      <c r="BM127" s="39"/>
      <c r="BN127" s="39"/>
      <c r="BO127" s="39"/>
      <c r="BP127" s="173"/>
      <c r="BQ127" s="173"/>
      <c r="BR127" s="173"/>
    </row>
    <row r="128" spans="1:70">
      <c r="A128" s="173"/>
      <c r="B128" s="70"/>
      <c r="C128" s="62" t="s">
        <v>95</v>
      </c>
      <c r="D128" s="70" t="s">
        <v>11</v>
      </c>
      <c r="E128" s="173"/>
      <c r="F128" s="173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27"/>
      <c r="X128" s="56"/>
      <c r="Y128" s="56"/>
      <c r="Z128" s="44">
        <f t="shared" ref="Z128:AY128" si="289">SUM(Z124:Z127)</f>
        <v>0</v>
      </c>
      <c r="AA128" s="44">
        <f t="shared" si="289"/>
        <v>0</v>
      </c>
      <c r="AB128" s="44">
        <f t="shared" si="289"/>
        <v>0</v>
      </c>
      <c r="AC128" s="44">
        <f t="shared" si="289"/>
        <v>0</v>
      </c>
      <c r="AD128" s="44">
        <f t="shared" si="289"/>
        <v>0</v>
      </c>
      <c r="AE128" s="44">
        <f t="shared" si="289"/>
        <v>0</v>
      </c>
      <c r="AF128" s="44">
        <f t="shared" si="289"/>
        <v>0</v>
      </c>
      <c r="AG128" s="44">
        <f t="shared" si="289"/>
        <v>0</v>
      </c>
      <c r="AH128" s="44">
        <f t="shared" si="289"/>
        <v>0</v>
      </c>
      <c r="AI128" s="44">
        <f t="shared" si="289"/>
        <v>0</v>
      </c>
      <c r="AJ128" s="44">
        <f t="shared" si="289"/>
        <v>0</v>
      </c>
      <c r="AK128" s="44">
        <f t="shared" si="289"/>
        <v>0</v>
      </c>
      <c r="AL128" s="44">
        <f t="shared" si="289"/>
        <v>0</v>
      </c>
      <c r="AM128" s="44">
        <f t="shared" si="289"/>
        <v>0</v>
      </c>
      <c r="AN128" s="44">
        <f t="shared" si="289"/>
        <v>0</v>
      </c>
      <c r="AO128" s="44">
        <f t="shared" si="289"/>
        <v>0</v>
      </c>
      <c r="AP128" s="44">
        <f t="shared" si="289"/>
        <v>0</v>
      </c>
      <c r="AQ128" s="44">
        <f t="shared" si="289"/>
        <v>0</v>
      </c>
      <c r="AR128" s="44">
        <f t="shared" si="289"/>
        <v>0</v>
      </c>
      <c r="AS128" s="44">
        <f t="shared" si="289"/>
        <v>0</v>
      </c>
      <c r="AT128" s="44">
        <f t="shared" si="289"/>
        <v>0</v>
      </c>
      <c r="AU128" s="44">
        <f t="shared" si="289"/>
        <v>0</v>
      </c>
      <c r="AV128" s="44">
        <f t="shared" si="289"/>
        <v>0</v>
      </c>
      <c r="AW128" s="44">
        <f t="shared" si="289"/>
        <v>0</v>
      </c>
      <c r="AX128" s="44">
        <f t="shared" si="289"/>
        <v>0</v>
      </c>
      <c r="AY128" s="44">
        <f t="shared" si="289"/>
        <v>0</v>
      </c>
      <c r="AZ128" s="27"/>
      <c r="BA128" s="27"/>
      <c r="BB128" s="27"/>
      <c r="BC128" s="27"/>
      <c r="BD128" s="44">
        <f t="shared" ref="BD128:BO128" si="290">SUM(BD124:BD127)</f>
        <v>0</v>
      </c>
      <c r="BE128" s="44">
        <f t="shared" si="290"/>
        <v>0</v>
      </c>
      <c r="BF128" s="44">
        <f t="shared" si="290"/>
        <v>0</v>
      </c>
      <c r="BG128" s="44">
        <f t="shared" si="290"/>
        <v>0</v>
      </c>
      <c r="BH128" s="44">
        <f t="shared" si="290"/>
        <v>0</v>
      </c>
      <c r="BI128" s="44">
        <f t="shared" si="290"/>
        <v>0</v>
      </c>
      <c r="BJ128" s="44">
        <f t="shared" si="290"/>
        <v>0</v>
      </c>
      <c r="BK128" s="44">
        <f t="shared" si="290"/>
        <v>0</v>
      </c>
      <c r="BL128" s="44">
        <f t="shared" si="290"/>
        <v>0</v>
      </c>
      <c r="BM128" s="44">
        <f t="shared" si="290"/>
        <v>0</v>
      </c>
      <c r="BN128" s="44">
        <f t="shared" si="290"/>
        <v>0</v>
      </c>
      <c r="BO128" s="44">
        <f t="shared" si="290"/>
        <v>0</v>
      </c>
      <c r="BP128" s="173"/>
      <c r="BQ128" s="173"/>
      <c r="BR128" s="173"/>
    </row>
    <row r="129" spans="1:70" ht="7.5" customHeight="1" thickBot="1">
      <c r="A129" s="176"/>
      <c r="B129" s="176"/>
      <c r="C129" s="73"/>
      <c r="D129" s="176"/>
      <c r="E129" s="176"/>
      <c r="F129" s="176"/>
      <c r="G129" s="176"/>
      <c r="H129" s="176"/>
      <c r="I129" s="176"/>
      <c r="J129" s="176"/>
      <c r="K129" s="176"/>
      <c r="L129" s="176"/>
      <c r="M129" s="176"/>
      <c r="N129" s="176"/>
      <c r="O129" s="176"/>
      <c r="P129" s="176"/>
      <c r="Q129" s="176"/>
      <c r="R129" s="176"/>
      <c r="S129" s="176"/>
      <c r="T129" s="176"/>
      <c r="U129" s="176"/>
      <c r="V129" s="176"/>
      <c r="W129" s="176"/>
      <c r="X129" s="176"/>
      <c r="Y129" s="176"/>
      <c r="Z129" s="176"/>
      <c r="AA129" s="176"/>
      <c r="AB129" s="176"/>
      <c r="AC129" s="176"/>
      <c r="AD129" s="176"/>
      <c r="AE129" s="176"/>
      <c r="AF129" s="176"/>
      <c r="AG129" s="176"/>
      <c r="AH129" s="176"/>
      <c r="AI129" s="176"/>
      <c r="AJ129" s="176"/>
      <c r="AK129" s="176"/>
      <c r="AL129" s="176"/>
      <c r="AM129" s="176"/>
      <c r="AN129" s="176"/>
      <c r="AO129" s="176"/>
      <c r="AP129" s="176"/>
      <c r="AQ129" s="176"/>
      <c r="AR129" s="176"/>
      <c r="AS129" s="176"/>
      <c r="AT129" s="176"/>
      <c r="AU129" s="176"/>
      <c r="AV129" s="176"/>
      <c r="AW129" s="176"/>
      <c r="AX129" s="176"/>
      <c r="AY129" s="176"/>
      <c r="AZ129" s="176"/>
      <c r="BA129" s="176"/>
      <c r="BB129" s="176"/>
      <c r="BC129" s="176"/>
      <c r="BD129" s="176"/>
      <c r="BE129" s="176"/>
      <c r="BF129" s="176"/>
      <c r="BG129" s="176"/>
      <c r="BH129" s="176"/>
      <c r="BI129" s="176"/>
      <c r="BJ129" s="176"/>
      <c r="BK129" s="176"/>
      <c r="BL129" s="176"/>
      <c r="BM129" s="176"/>
      <c r="BN129" s="176"/>
      <c r="BO129" s="176"/>
      <c r="BP129" s="176"/>
      <c r="BQ129" s="176"/>
      <c r="BR129" s="176"/>
    </row>
    <row r="130" spans="1:70" ht="19.5" thickBot="1">
      <c r="A130" s="74"/>
      <c r="B130" s="75"/>
      <c r="C130" s="76"/>
      <c r="D130" s="77" t="s">
        <v>11</v>
      </c>
      <c r="E130" s="75"/>
      <c r="F130" s="75"/>
      <c r="G130" s="75"/>
      <c r="H130" s="75"/>
      <c r="I130" s="75"/>
      <c r="J130" s="75"/>
      <c r="K130" s="75"/>
      <c r="L130" s="75"/>
      <c r="M130" s="75"/>
      <c r="N130" s="75"/>
      <c r="O130" s="75"/>
      <c r="P130" s="75"/>
      <c r="Q130" s="75"/>
      <c r="R130" s="75"/>
      <c r="S130" s="75"/>
      <c r="T130" s="75"/>
      <c r="U130" s="75"/>
      <c r="V130" s="75"/>
      <c r="W130" s="75"/>
      <c r="X130" s="135">
        <f t="shared" ref="X130:AY130" si="291">X15+X22+X28+X33+X45+X50+X55+X60+X65+X70+X76+X81+X86+X91+X96+X101+X107+X111+X115+X120+X124+X128</f>
        <v>28.19950531232001</v>
      </c>
      <c r="Y130" s="135">
        <f t="shared" si="291"/>
        <v>16.614856279999998</v>
      </c>
      <c r="Z130" s="135">
        <f t="shared" si="291"/>
        <v>1993.7827535999998</v>
      </c>
      <c r="AA130" s="135">
        <f t="shared" si="291"/>
        <v>44.330837646597004</v>
      </c>
      <c r="AB130" s="135">
        <f t="shared" si="291"/>
        <v>5.1128584500000001</v>
      </c>
      <c r="AC130" s="135">
        <f t="shared" si="291"/>
        <v>613.54301399999997</v>
      </c>
      <c r="AD130" s="135">
        <f t="shared" si="291"/>
        <v>13.656562208593748</v>
      </c>
      <c r="AE130" s="135">
        <f t="shared" si="291"/>
        <v>3.8649043400000003</v>
      </c>
      <c r="AF130" s="135">
        <f t="shared" si="291"/>
        <v>463.78852079999996</v>
      </c>
      <c r="AG130" s="135">
        <f t="shared" si="291"/>
        <v>9.3313296505702983</v>
      </c>
      <c r="AH130" s="135">
        <f t="shared" si="291"/>
        <v>2.290965339</v>
      </c>
      <c r="AI130" s="135">
        <f t="shared" si="291"/>
        <v>274.91584067999997</v>
      </c>
      <c r="AJ130" s="135">
        <f t="shared" si="291"/>
        <v>6.3303503854173115</v>
      </c>
      <c r="AK130" s="135">
        <f t="shared" si="291"/>
        <v>5.3465063999999991</v>
      </c>
      <c r="AL130" s="135">
        <f t="shared" si="291"/>
        <v>641.58076799999992</v>
      </c>
      <c r="AM130" s="135">
        <f t="shared" si="291"/>
        <v>15.013232042411778</v>
      </c>
      <c r="AN130" s="135">
        <f t="shared" si="291"/>
        <v>2.4422756520000002</v>
      </c>
      <c r="AO130" s="135">
        <f t="shared" si="291"/>
        <v>293.07307823999997</v>
      </c>
      <c r="AP130" s="135">
        <f t="shared" si="291"/>
        <v>5.7448081750903972</v>
      </c>
      <c r="AQ130" s="135">
        <f t="shared" si="291"/>
        <v>2.8918922619999998</v>
      </c>
      <c r="AR130" s="135">
        <f t="shared" si="291"/>
        <v>347.02707143999993</v>
      </c>
      <c r="AS130" s="135">
        <f t="shared" si="291"/>
        <v>7.6719475854697832</v>
      </c>
      <c r="AT130" s="135">
        <f t="shared" si="291"/>
        <v>3.3153234390000001</v>
      </c>
      <c r="AU130" s="135">
        <f t="shared" si="291"/>
        <v>397.83881267999999</v>
      </c>
      <c r="AV130" s="135">
        <f t="shared" si="291"/>
        <v>10.035466802415439</v>
      </c>
      <c r="AW130" s="135">
        <f t="shared" si="291"/>
        <v>2.9347794303200003</v>
      </c>
      <c r="AX130" s="135">
        <f t="shared" si="291"/>
        <v>352.17353163839999</v>
      </c>
      <c r="AY130" s="135">
        <f t="shared" si="291"/>
        <v>9.1306933735687146</v>
      </c>
      <c r="AZ130" s="136"/>
      <c r="BA130" s="136"/>
      <c r="BB130" s="135">
        <f>BB15+BB22+BB28+BB33+BB45+BB50+BB55+BB60+BB65+BB70+BB76+BB81+BB86+BB91+BB96+BB101+BB107+BB111+BB115+BB120+BB124+BB128</f>
        <v>0</v>
      </c>
      <c r="BC130" s="136"/>
      <c r="BD130" s="135">
        <f t="shared" ref="BD130:BO130" si="292">BD15+BD22+BD28+BD33+BD45+BD50+BD55+BD60+BD65+BD70+BD76+BD81+BD86+BD91+BD96+BD101+BD107+BD111+BD115+BD120+BD124+BD128</f>
        <v>66.106901000000008</v>
      </c>
      <c r="BE130" s="135">
        <f t="shared" si="292"/>
        <v>11.206653700000002</v>
      </c>
      <c r="BF130" s="135">
        <f t="shared" si="292"/>
        <v>11.037092350000002</v>
      </c>
      <c r="BG130" s="135">
        <f t="shared" si="292"/>
        <v>12.820867</v>
      </c>
      <c r="BH130" s="135">
        <f t="shared" si="292"/>
        <v>15.58076865</v>
      </c>
      <c r="BI130" s="135">
        <f t="shared" si="292"/>
        <v>15.461519299999999</v>
      </c>
      <c r="BJ130" s="135">
        <f t="shared" si="292"/>
        <v>0</v>
      </c>
      <c r="BK130" s="135">
        <f t="shared" si="292"/>
        <v>0</v>
      </c>
      <c r="BL130" s="135">
        <f t="shared" si="292"/>
        <v>0</v>
      </c>
      <c r="BM130" s="135">
        <f t="shared" si="292"/>
        <v>0</v>
      </c>
      <c r="BN130" s="135">
        <f t="shared" si="292"/>
        <v>0</v>
      </c>
      <c r="BO130" s="135">
        <f t="shared" si="292"/>
        <v>0</v>
      </c>
      <c r="BP130" s="136"/>
      <c r="BQ130" s="137"/>
      <c r="BR130" s="138"/>
    </row>
    <row r="132" spans="1:70">
      <c r="Y132" s="133">
        <f>Y130+'Ф3-Перечень меропр с сопут эф'!G21</f>
        <v>47.718757781999997</v>
      </c>
      <c r="BE132" s="141"/>
    </row>
    <row r="133" spans="1:70">
      <c r="X133" s="47" t="s">
        <v>347</v>
      </c>
      <c r="Y133" s="141">
        <f>Y13+Y22</f>
        <v>15.467696660000001</v>
      </c>
      <c r="AH133" s="78"/>
      <c r="AN133" s="141">
        <f>AN13+AN22</f>
        <v>1.3604340000000001</v>
      </c>
      <c r="AQ133" s="141">
        <f>AQ13+AQ22</f>
        <v>1.7334900000000002</v>
      </c>
      <c r="AT133" s="141">
        <f>AT13+AT22</f>
        <v>1.95844</v>
      </c>
      <c r="AW133" s="141">
        <f>AW13+AW22</f>
        <v>1.7047639999999999</v>
      </c>
    </row>
    <row r="134" spans="1:70">
      <c r="AA134" s="141"/>
    </row>
  </sheetData>
  <mergeCells count="55">
    <mergeCell ref="CB10:CE10"/>
    <mergeCell ref="CF10:CF11"/>
    <mergeCell ref="CG10:CG11"/>
    <mergeCell ref="CH10:CH11"/>
    <mergeCell ref="CI10:CI11"/>
    <mergeCell ref="C4:C6"/>
    <mergeCell ref="D4:D6"/>
    <mergeCell ref="E4:E6"/>
    <mergeCell ref="A4:A6"/>
    <mergeCell ref="B4:B6"/>
    <mergeCell ref="F4:F6"/>
    <mergeCell ref="Y5:AA5"/>
    <mergeCell ref="AN5:AP5"/>
    <mergeCell ref="AQ5:AS5"/>
    <mergeCell ref="AT5:AV5"/>
    <mergeCell ref="X4:X6"/>
    <mergeCell ref="Y4:AY4"/>
    <mergeCell ref="W4:W6"/>
    <mergeCell ref="BD4:BI5"/>
    <mergeCell ref="BJ4:BO5"/>
    <mergeCell ref="BR4:BR6"/>
    <mergeCell ref="G4:P5"/>
    <mergeCell ref="Q4:V5"/>
    <mergeCell ref="AK5:AM5"/>
    <mergeCell ref="AB5:AD5"/>
    <mergeCell ref="AE5:AG5"/>
    <mergeCell ref="AH5:AJ5"/>
    <mergeCell ref="BP4:BP6"/>
    <mergeCell ref="AW5:AY5"/>
    <mergeCell ref="AZ4:AZ6"/>
    <mergeCell ref="BA4:BA6"/>
    <mergeCell ref="BB4:BB6"/>
    <mergeCell ref="BC4:BC6"/>
    <mergeCell ref="BQ4:BQ6"/>
    <mergeCell ref="CB4:CE4"/>
    <mergeCell ref="CQ4:CT4"/>
    <mergeCell ref="CW4:CZ4"/>
    <mergeCell ref="BS5:BV5"/>
    <mergeCell ref="BW5:BW6"/>
    <mergeCell ref="BX5:BX6"/>
    <mergeCell ref="BY5:BY6"/>
    <mergeCell ref="BZ5:BZ6"/>
    <mergeCell ref="CB5:CE5"/>
    <mergeCell ref="CH5:CK5"/>
    <mergeCell ref="CL5:CL6"/>
    <mergeCell ref="CM5:CM6"/>
    <mergeCell ref="CN5:CN6"/>
    <mergeCell ref="CO5:CO6"/>
    <mergeCell ref="CQ5:CT5"/>
    <mergeCell ref="CW5:CZ5"/>
    <mergeCell ref="CH29:CK29"/>
    <mergeCell ref="CL29:CL30"/>
    <mergeCell ref="CM29:CM30"/>
    <mergeCell ref="CN29:CN30"/>
    <mergeCell ref="CO29:CO30"/>
  </mergeCells>
  <pageMargins left="0.70866141732283472" right="0" top="0.74803149606299213" bottom="0" header="0.31496062992125984" footer="0.31496062992125984"/>
  <pageSetup paperSize="8" scale="39" fitToWidth="3" fitToHeight="2" orientation="landscape" r:id="rId1"/>
  <colBreaks count="2" manualBreakCount="2">
    <brk id="22" max="129" man="1"/>
    <brk id="45" max="129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2:AN25"/>
  <sheetViews>
    <sheetView view="pageBreakPreview" topLeftCell="D1" zoomScale="75" zoomScaleNormal="55" zoomScaleSheetLayoutView="75" workbookViewId="0">
      <selection activeCell="A2" sqref="A2:V2"/>
    </sheetView>
  </sheetViews>
  <sheetFormatPr defaultColWidth="9.140625" defaultRowHeight="18.75" outlineLevelCol="1"/>
  <cols>
    <col min="1" max="1" width="9.28515625" style="47" customWidth="1"/>
    <col min="2" max="2" width="17.140625" style="47" customWidth="1"/>
    <col min="3" max="3" width="8.5703125" style="47" customWidth="1"/>
    <col min="4" max="4" width="30.7109375" style="47" customWidth="1"/>
    <col min="5" max="6" width="15.28515625" style="47" customWidth="1"/>
    <col min="7" max="7" width="16.42578125" style="47" customWidth="1"/>
    <col min="8" max="8" width="17.5703125" style="47" customWidth="1"/>
    <col min="9" max="9" width="16.85546875" style="47" customWidth="1"/>
    <col min="10" max="10" width="13.85546875" style="47" customWidth="1" outlineLevel="1"/>
    <col min="11" max="11" width="18.42578125" style="47" customWidth="1" outlineLevel="1"/>
    <col min="12" max="12" width="13.85546875" style="47" customWidth="1" outlineLevel="1"/>
    <col min="13" max="13" width="16.85546875" style="47" customWidth="1" outlineLevel="1"/>
    <col min="14" max="14" width="15" style="47" customWidth="1" outlineLevel="1"/>
    <col min="15" max="15" width="13.85546875" style="47" customWidth="1" outlineLevel="1"/>
    <col min="16" max="16" width="16.140625" style="47" customWidth="1" outlineLevel="1"/>
    <col min="17" max="17" width="16" style="47" customWidth="1" outlineLevel="1"/>
    <col min="18" max="19" width="13.85546875" style="47" customWidth="1" outlineLevel="1"/>
    <col min="20" max="20" width="18.140625" style="47" customWidth="1" outlineLevel="1"/>
    <col min="21" max="21" width="18.85546875" style="47" customWidth="1" outlineLevel="1"/>
    <col min="22" max="22" width="19.7109375" style="47" customWidth="1"/>
    <col min="23" max="23" width="16.85546875" style="47" customWidth="1"/>
    <col min="24" max="24" width="19.85546875" style="47" customWidth="1"/>
    <col min="25" max="25" width="20.42578125" style="47" customWidth="1"/>
    <col min="26" max="26" width="19.42578125" style="47" customWidth="1"/>
    <col min="27" max="27" width="16.7109375" style="47" customWidth="1"/>
    <col min="28" max="28" width="18" style="47" customWidth="1"/>
    <col min="29" max="29" width="18.28515625" style="47" customWidth="1"/>
    <col min="30" max="30" width="18.140625" style="47" customWidth="1"/>
    <col min="31" max="31" width="19.5703125" style="47" customWidth="1"/>
    <col min="32" max="32" width="19.140625" style="47" customWidth="1"/>
    <col min="33" max="33" width="15.42578125" style="47" customWidth="1"/>
    <col min="34" max="34" width="9.140625" style="47"/>
    <col min="35" max="35" width="22.28515625" style="47" customWidth="1"/>
    <col min="36" max="36" width="9.140625" style="47" customWidth="1"/>
    <col min="37" max="40" width="9.42578125" style="47" bestFit="1" customWidth="1"/>
    <col min="41" max="16384" width="9.140625" style="47"/>
  </cols>
  <sheetData>
    <row r="2" spans="1:40" ht="31.5">
      <c r="A2" s="296" t="s">
        <v>274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</row>
    <row r="3" spans="1:40" ht="19.5" thickBot="1">
      <c r="K3" s="47" t="s">
        <v>317</v>
      </c>
      <c r="L3" s="47">
        <v>0.12</v>
      </c>
    </row>
    <row r="4" spans="1:40" ht="21" customHeight="1">
      <c r="A4" s="384" t="s">
        <v>276</v>
      </c>
      <c r="B4" s="387" t="s">
        <v>275</v>
      </c>
      <c r="C4" s="370" t="s">
        <v>22</v>
      </c>
      <c r="D4" s="370" t="s">
        <v>251</v>
      </c>
      <c r="E4" s="363" t="s">
        <v>287</v>
      </c>
      <c r="F4" s="363" t="s">
        <v>88</v>
      </c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3"/>
      <c r="AA4" s="363"/>
      <c r="AB4" s="363"/>
      <c r="AC4" s="363"/>
      <c r="AD4" s="363"/>
      <c r="AE4" s="363"/>
      <c r="AF4" s="363"/>
      <c r="AG4" s="360"/>
    </row>
    <row r="5" spans="1:40" ht="27" customHeight="1">
      <c r="A5" s="385"/>
      <c r="B5" s="388"/>
      <c r="C5" s="371"/>
      <c r="D5" s="371"/>
      <c r="E5" s="364"/>
      <c r="F5" s="364" t="s">
        <v>11</v>
      </c>
      <c r="G5" s="364">
        <v>2015</v>
      </c>
      <c r="H5" s="364"/>
      <c r="I5" s="364"/>
      <c r="J5" s="365" t="s">
        <v>295</v>
      </c>
      <c r="K5" s="365"/>
      <c r="L5" s="365"/>
      <c r="M5" s="365" t="s">
        <v>292</v>
      </c>
      <c r="N5" s="365"/>
      <c r="O5" s="365"/>
      <c r="P5" s="365" t="s">
        <v>293</v>
      </c>
      <c r="Q5" s="365"/>
      <c r="R5" s="365"/>
      <c r="S5" s="365" t="s">
        <v>294</v>
      </c>
      <c r="T5" s="365"/>
      <c r="U5" s="365"/>
      <c r="V5" s="382">
        <v>2016</v>
      </c>
      <c r="W5" s="392"/>
      <c r="X5" s="393"/>
      <c r="Y5" s="364">
        <v>2017</v>
      </c>
      <c r="Z5" s="364"/>
      <c r="AA5" s="364"/>
      <c r="AB5" s="364">
        <v>2018</v>
      </c>
      <c r="AC5" s="364"/>
      <c r="AD5" s="364"/>
      <c r="AE5" s="364">
        <v>2019</v>
      </c>
      <c r="AF5" s="364"/>
      <c r="AG5" s="361"/>
    </row>
    <row r="6" spans="1:40" ht="133.5" customHeight="1" thickBot="1">
      <c r="A6" s="386"/>
      <c r="B6" s="389"/>
      <c r="C6" s="329"/>
      <c r="D6" s="329"/>
      <c r="E6" s="366"/>
      <c r="F6" s="366"/>
      <c r="G6" s="181" t="s">
        <v>89</v>
      </c>
      <c r="H6" s="181" t="s">
        <v>90</v>
      </c>
      <c r="I6" s="181" t="s">
        <v>298</v>
      </c>
      <c r="J6" s="181" t="s">
        <v>89</v>
      </c>
      <c r="K6" s="181" t="s">
        <v>90</v>
      </c>
      <c r="L6" s="181" t="s">
        <v>298</v>
      </c>
      <c r="M6" s="181" t="s">
        <v>89</v>
      </c>
      <c r="N6" s="181" t="s">
        <v>90</v>
      </c>
      <c r="O6" s="181" t="s">
        <v>298</v>
      </c>
      <c r="P6" s="181" t="s">
        <v>89</v>
      </c>
      <c r="Q6" s="181" t="s">
        <v>90</v>
      </c>
      <c r="R6" s="181" t="s">
        <v>298</v>
      </c>
      <c r="S6" s="181" t="s">
        <v>89</v>
      </c>
      <c r="T6" s="181" t="s">
        <v>90</v>
      </c>
      <c r="U6" s="181" t="s">
        <v>298</v>
      </c>
      <c r="V6" s="181" t="s">
        <v>89</v>
      </c>
      <c r="W6" s="181" t="s">
        <v>90</v>
      </c>
      <c r="X6" s="181" t="s">
        <v>298</v>
      </c>
      <c r="Y6" s="181" t="s">
        <v>89</v>
      </c>
      <c r="Z6" s="181" t="s">
        <v>90</v>
      </c>
      <c r="AA6" s="181" t="s">
        <v>298</v>
      </c>
      <c r="AB6" s="181" t="s">
        <v>89</v>
      </c>
      <c r="AC6" s="181" t="s">
        <v>90</v>
      </c>
      <c r="AD6" s="181" t="s">
        <v>298</v>
      </c>
      <c r="AE6" s="181" t="s">
        <v>89</v>
      </c>
      <c r="AF6" s="181" t="s">
        <v>90</v>
      </c>
      <c r="AG6" s="180" t="s">
        <v>298</v>
      </c>
    </row>
    <row r="7" spans="1:40" ht="14.25" customHeight="1" thickBot="1">
      <c r="A7" s="192">
        <v>1</v>
      </c>
      <c r="B7" s="193">
        <v>2</v>
      </c>
      <c r="C7" s="193">
        <v>3</v>
      </c>
      <c r="D7" s="193">
        <v>4</v>
      </c>
      <c r="E7" s="193">
        <v>5</v>
      </c>
      <c r="F7" s="193">
        <v>6</v>
      </c>
      <c r="G7" s="193">
        <v>7</v>
      </c>
      <c r="H7" s="193">
        <v>8</v>
      </c>
      <c r="I7" s="193">
        <v>9</v>
      </c>
      <c r="J7" s="193">
        <v>10</v>
      </c>
      <c r="K7" s="193">
        <v>11</v>
      </c>
      <c r="L7" s="193">
        <v>12</v>
      </c>
      <c r="M7" s="193">
        <v>13</v>
      </c>
      <c r="N7" s="193">
        <v>14</v>
      </c>
      <c r="O7" s="193">
        <v>15</v>
      </c>
      <c r="P7" s="193">
        <v>16</v>
      </c>
      <c r="Q7" s="193">
        <v>17</v>
      </c>
      <c r="R7" s="193">
        <v>18</v>
      </c>
      <c r="S7" s="193">
        <v>19</v>
      </c>
      <c r="T7" s="193">
        <v>20</v>
      </c>
      <c r="U7" s="193">
        <v>21</v>
      </c>
      <c r="V7" s="193">
        <v>22</v>
      </c>
      <c r="W7" s="193">
        <v>23</v>
      </c>
      <c r="X7" s="193">
        <v>24</v>
      </c>
      <c r="Y7" s="193">
        <v>25</v>
      </c>
      <c r="Z7" s="193">
        <v>26</v>
      </c>
      <c r="AA7" s="193">
        <v>27</v>
      </c>
      <c r="AB7" s="193">
        <v>28</v>
      </c>
      <c r="AC7" s="193">
        <v>29</v>
      </c>
      <c r="AD7" s="193">
        <v>30</v>
      </c>
      <c r="AE7" s="193">
        <v>31</v>
      </c>
      <c r="AF7" s="193">
        <v>32</v>
      </c>
      <c r="AG7" s="194">
        <v>33</v>
      </c>
      <c r="AI7" s="390" t="s">
        <v>337</v>
      </c>
      <c r="AJ7" s="390"/>
      <c r="AK7" s="390"/>
      <c r="AL7" s="390"/>
      <c r="AM7" s="390"/>
      <c r="AN7" s="390"/>
    </row>
    <row r="8" spans="1:40" ht="36.75" customHeight="1">
      <c r="A8" s="391"/>
      <c r="B8" s="391"/>
      <c r="C8" s="342">
        <v>1</v>
      </c>
      <c r="D8" s="330" t="s">
        <v>99</v>
      </c>
      <c r="E8" s="70" t="s">
        <v>378</v>
      </c>
      <c r="F8" s="291">
        <f>G8+V8+Y8+AB8+AE8</f>
        <v>0.65121510199999999</v>
      </c>
      <c r="G8" s="291">
        <f>J8+M8+P8+S8</f>
        <v>0.166984302</v>
      </c>
      <c r="H8" s="292">
        <f>K8+N8+Q8+T8</f>
        <v>20.038116240000001</v>
      </c>
      <c r="I8" s="292">
        <f t="shared" ref="I8" si="0">L8+O8+R8+U8</f>
        <v>0.28105547449690998</v>
      </c>
      <c r="J8" s="293"/>
      <c r="K8" s="293"/>
      <c r="L8" s="293"/>
      <c r="M8" s="293"/>
      <c r="N8" s="293"/>
      <c r="O8" s="293"/>
      <c r="P8" s="293"/>
      <c r="Q8" s="293"/>
      <c r="R8" s="293"/>
      <c r="S8" s="293">
        <v>0.166984302</v>
      </c>
      <c r="T8" s="294">
        <f>S8*L3*1000</f>
        <v>20.038116240000001</v>
      </c>
      <c r="U8" s="294">
        <f>S8*'Ф2-Перечень меропр с прям зат '!BV7</f>
        <v>0.28105547449690998</v>
      </c>
      <c r="V8" s="293">
        <f>0+0.1288052</f>
        <v>0.12880520000000001</v>
      </c>
      <c r="W8" s="294">
        <f>V8*L3*1000</f>
        <v>15.456624</v>
      </c>
      <c r="X8" s="294">
        <f>V8*'Ф2-Перечень меропр с прям зат '!BW7</f>
        <v>0.22751900912175149</v>
      </c>
      <c r="Y8" s="293">
        <f>0+0.010476</f>
        <v>1.0475999999999999E-2</v>
      </c>
      <c r="Z8" s="294">
        <f>Y8*L3*1000</f>
        <v>1.2571199999999998</v>
      </c>
      <c r="AA8" s="294">
        <f>Y8*'Ф2-Перечень меропр с прям зат '!BX7</f>
        <v>2.0326111195296488E-2</v>
      </c>
      <c r="AB8" s="293">
        <f>0+0.1704096</f>
        <v>0.17040959999999999</v>
      </c>
      <c r="AC8" s="294">
        <f>AB8*L3*1000</f>
        <v>20.449151999999998</v>
      </c>
      <c r="AD8" s="294">
        <f>AB8*'Ф2-Перечень меропр с прям зат '!BY7</f>
        <v>0.36204869018133939</v>
      </c>
      <c r="AE8" s="293">
        <f>0+0.17454</f>
        <v>0.17454</v>
      </c>
      <c r="AF8" s="294">
        <f>AE8*L3*1000</f>
        <v>20.944800000000001</v>
      </c>
      <c r="AG8" s="294">
        <f>AE8*'Ф2-Перечень меропр с прям зат '!BZ7</f>
        <v>0.40605235337243267</v>
      </c>
      <c r="AI8" s="173" t="s">
        <v>338</v>
      </c>
      <c r="AJ8" s="173">
        <v>2015</v>
      </c>
      <c r="AK8" s="173">
        <v>2016</v>
      </c>
      <c r="AL8" s="173">
        <v>2017</v>
      </c>
      <c r="AM8" s="173">
        <v>2018</v>
      </c>
      <c r="AN8" s="173">
        <v>2019</v>
      </c>
    </row>
    <row r="9" spans="1:40" ht="40.5" customHeight="1">
      <c r="A9" s="342"/>
      <c r="B9" s="342"/>
      <c r="C9" s="303"/>
      <c r="D9" s="371"/>
      <c r="E9" s="70" t="s">
        <v>218</v>
      </c>
      <c r="F9" s="44">
        <f>G9+V9+Y9+AB9+AE9</f>
        <v>0</v>
      </c>
      <c r="G9" s="44">
        <f>J9+M9+P9+S9</f>
        <v>0</v>
      </c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195"/>
      <c r="U9" s="39"/>
      <c r="V9" s="39"/>
      <c r="W9" s="195"/>
      <c r="X9" s="39"/>
      <c r="Y9" s="39"/>
      <c r="Z9" s="195"/>
      <c r="AA9" s="39"/>
      <c r="AB9" s="39"/>
      <c r="AC9" s="195"/>
      <c r="AD9" s="39"/>
      <c r="AE9" s="39"/>
      <c r="AF9" s="195"/>
      <c r="AG9" s="39"/>
      <c r="AI9" s="173" t="s">
        <v>341</v>
      </c>
      <c r="AJ9" s="173" t="s">
        <v>340</v>
      </c>
      <c r="AK9" s="173" t="s">
        <v>340</v>
      </c>
      <c r="AL9" s="173" t="s">
        <v>340</v>
      </c>
      <c r="AM9" s="173" t="s">
        <v>340</v>
      </c>
      <c r="AN9" s="173" t="s">
        <v>340</v>
      </c>
    </row>
    <row r="10" spans="1:40" ht="50.25" customHeight="1">
      <c r="A10" s="341"/>
      <c r="B10" s="341"/>
      <c r="C10" s="303">
        <v>2</v>
      </c>
      <c r="D10" s="371" t="s">
        <v>100</v>
      </c>
      <c r="E10" s="70" t="s">
        <v>378</v>
      </c>
      <c r="F10" s="44">
        <f t="shared" ref="F10:F20" si="1">G10+V10+Y10+AB10+AE10</f>
        <v>0</v>
      </c>
      <c r="G10" s="44">
        <f t="shared" ref="G10:G20" si="2">J10+M10+P10+S10</f>
        <v>0</v>
      </c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I10" s="173" t="s">
        <v>339</v>
      </c>
      <c r="AJ10" s="173">
        <v>93.41</v>
      </c>
      <c r="AK10" s="173">
        <v>57.94</v>
      </c>
      <c r="AL10" s="173">
        <v>18.010000000000002</v>
      </c>
      <c r="AM10" s="173">
        <v>133.05000000000001</v>
      </c>
      <c r="AN10" s="173">
        <v>132.18</v>
      </c>
    </row>
    <row r="11" spans="1:40" ht="50.25" customHeight="1">
      <c r="A11" s="342"/>
      <c r="B11" s="342"/>
      <c r="C11" s="303"/>
      <c r="D11" s="371"/>
      <c r="E11" s="70" t="s">
        <v>218</v>
      </c>
      <c r="F11" s="44">
        <f t="shared" si="1"/>
        <v>0</v>
      </c>
      <c r="G11" s="44">
        <f t="shared" si="2"/>
        <v>0</v>
      </c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I11" s="182" t="s">
        <v>343</v>
      </c>
      <c r="AJ11" s="196">
        <v>41.5</v>
      </c>
      <c r="AK11" s="173">
        <v>44.9</v>
      </c>
      <c r="AL11" s="173">
        <v>58.1</v>
      </c>
      <c r="AM11" s="173">
        <v>58.3</v>
      </c>
      <c r="AN11" s="173">
        <v>60.8</v>
      </c>
    </row>
    <row r="12" spans="1:40" ht="31.5" customHeight="1">
      <c r="A12" s="341"/>
      <c r="B12" s="341"/>
      <c r="C12" s="303">
        <v>3</v>
      </c>
      <c r="D12" s="371" t="s">
        <v>101</v>
      </c>
      <c r="E12" s="70" t="s">
        <v>378</v>
      </c>
      <c r="F12" s="44">
        <f t="shared" si="1"/>
        <v>0</v>
      </c>
      <c r="G12" s="44">
        <f t="shared" si="2"/>
        <v>0</v>
      </c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I12" s="182" t="s">
        <v>342</v>
      </c>
      <c r="AJ12" s="197">
        <v>57.180199999999999</v>
      </c>
      <c r="AK12" s="197">
        <v>60.744680000000002</v>
      </c>
      <c r="AL12" s="197">
        <v>64.346289999999996</v>
      </c>
      <c r="AM12" s="197">
        <v>4.1268799999999999</v>
      </c>
      <c r="AN12" s="173"/>
    </row>
    <row r="13" spans="1:40" ht="15.75" customHeight="1">
      <c r="A13" s="342"/>
      <c r="B13" s="342"/>
      <c r="C13" s="303"/>
      <c r="D13" s="371"/>
      <c r="E13" s="70" t="s">
        <v>218</v>
      </c>
      <c r="F13" s="44">
        <f t="shared" si="1"/>
        <v>0</v>
      </c>
      <c r="G13" s="44">
        <f t="shared" si="2"/>
        <v>0</v>
      </c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J13" s="198">
        <f>SUM(AJ10:AJ12)</f>
        <v>192.09019999999998</v>
      </c>
      <c r="AK13" s="49">
        <f t="shared" ref="AK13:AN13" si="3">SUM(AK10:AK12)</f>
        <v>163.58467999999999</v>
      </c>
      <c r="AL13" s="49">
        <f t="shared" si="3"/>
        <v>140.45629</v>
      </c>
      <c r="AM13" s="49">
        <f t="shared" si="3"/>
        <v>195.47688000000002</v>
      </c>
      <c r="AN13" s="198">
        <f t="shared" si="3"/>
        <v>192.98000000000002</v>
      </c>
    </row>
    <row r="14" spans="1:40" ht="54.75" customHeight="1">
      <c r="A14" s="341"/>
      <c r="B14" s="341"/>
      <c r="C14" s="303">
        <v>4</v>
      </c>
      <c r="D14" s="371" t="s">
        <v>102</v>
      </c>
      <c r="E14" s="70" t="s">
        <v>378</v>
      </c>
      <c r="F14" s="44">
        <f t="shared" si="1"/>
        <v>0</v>
      </c>
      <c r="G14" s="44">
        <f t="shared" si="2"/>
        <v>0</v>
      </c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N14" s="47">
        <f>SUM(AJ13:AN13)</f>
        <v>884.58805000000007</v>
      </c>
    </row>
    <row r="15" spans="1:40" ht="54.75" customHeight="1">
      <c r="A15" s="342"/>
      <c r="B15" s="342"/>
      <c r="C15" s="303"/>
      <c r="D15" s="371"/>
      <c r="E15" s="70" t="s">
        <v>218</v>
      </c>
      <c r="F15" s="44">
        <f t="shared" si="1"/>
        <v>0</v>
      </c>
      <c r="G15" s="44">
        <f t="shared" si="2"/>
        <v>0</v>
      </c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3"/>
      <c r="AD15" s="173"/>
      <c r="AE15" s="173"/>
      <c r="AF15" s="173"/>
      <c r="AG15" s="173"/>
      <c r="AN15" s="47">
        <f>'Ф2-Перечень меропр с прям зат '!BD130</f>
        <v>66.106901000000008</v>
      </c>
    </row>
    <row r="16" spans="1:40" ht="75">
      <c r="A16" s="173"/>
      <c r="B16" s="173"/>
      <c r="C16" s="173">
        <v>5</v>
      </c>
      <c r="D16" s="182" t="s">
        <v>103</v>
      </c>
      <c r="E16" s="70" t="s">
        <v>378</v>
      </c>
      <c r="F16" s="291">
        <f t="shared" si="1"/>
        <v>82.160811200000012</v>
      </c>
      <c r="G16" s="291">
        <f>J16+M16+P16+S16</f>
        <v>30.936917200000003</v>
      </c>
      <c r="H16" s="294">
        <f>K16+N16+Q16+T16</f>
        <v>3712.4300640000001</v>
      </c>
      <c r="I16" s="294">
        <f>L16+O16+R16+U16</f>
        <v>58.819107052964227</v>
      </c>
      <c r="J16" s="294">
        <f>3.414725+5.27467</f>
        <v>8.6893950000000011</v>
      </c>
      <c r="K16" s="294">
        <f>J16*L3*1000</f>
        <v>1042.7274000000002</v>
      </c>
      <c r="L16" s="295">
        <f>5.27467*'Ф2-Перечень меропр с прям зат '!BS7+'Ф2-Перечень меропр с прям зат '!CB12*3.414725</f>
        <v>17.212457990773842</v>
      </c>
      <c r="M16" s="294">
        <f>1.588318+5.77755</f>
        <v>7.3658679999999999</v>
      </c>
      <c r="N16" s="294">
        <f>M16*L3*1000</f>
        <v>883.90415999999993</v>
      </c>
      <c r="O16" s="295">
        <f>1.588318*'Ф2-Перечень меропр с прям зат '!CC12+'Ф2-Перечень меропр с прям зат '!BT7*5.77755</f>
        <v>13.056793322479294</v>
      </c>
      <c r="P16" s="294">
        <f>0.713+4.5099142</f>
        <v>5.2229142</v>
      </c>
      <c r="Q16" s="294">
        <f>P16*L3*1000</f>
        <v>626.74970399999995</v>
      </c>
      <c r="R16" s="294">
        <f>0.713*'Ф2-Перечень меропр с прям зат '!CD12+'Ф2-Перечень меропр с прям зат '!BU7*4.5099142</f>
        <v>9.6187751157520189</v>
      </c>
      <c r="S16" s="294">
        <f>2.25874+7.4</f>
        <v>9.6587399999999999</v>
      </c>
      <c r="T16" s="294">
        <f>S16*L3*1000</f>
        <v>1159.0487999999998</v>
      </c>
      <c r="U16" s="295">
        <f>2.25874*'Ф2-Перечень меропр с прям зат '!CE12+'Ф2-Перечень меропр с прям зат '!BV7*7.4</f>
        <v>18.931080623959076</v>
      </c>
      <c r="V16" s="294">
        <f>3.212+1.867</f>
        <v>5.0790000000000006</v>
      </c>
      <c r="W16" s="294">
        <f>V16*L3*1000</f>
        <v>609.48</v>
      </c>
      <c r="X16" s="295">
        <f>3.212*'Ф2-Перечень меропр с прям зат '!CF12+1.867*'Ф2-Перечень меропр с прям зат '!BW7</f>
        <v>12.96761614128973</v>
      </c>
      <c r="Y16" s="294">
        <f>2.801+30.46</f>
        <v>33.261000000000003</v>
      </c>
      <c r="Z16" s="294">
        <f>Y16*L3*1000</f>
        <v>3991.32</v>
      </c>
      <c r="AA16" s="295">
        <f>2.801*'Ф2-Перечень меропр с прям зат '!CG12+30.46*'Ф2-Перечень меропр с прям зат '!BX7</f>
        <v>68.188698644979354</v>
      </c>
      <c r="AB16" s="294">
        <f>3.222094</f>
        <v>3.2220939999999998</v>
      </c>
      <c r="AC16" s="294">
        <f>AB16*L3*1000</f>
        <v>386.65127999999999</v>
      </c>
      <c r="AD16" s="294">
        <f>AB16*'Ф2-Перечень меропр с прям зат '!CH12</f>
        <v>11.257206173240304</v>
      </c>
      <c r="AE16" s="294">
        <f>3.6618+6</f>
        <v>9.6617999999999995</v>
      </c>
      <c r="AF16" s="294">
        <f>AE16*L3*1000</f>
        <v>1159.4159999999999</v>
      </c>
      <c r="AG16" s="295">
        <f>3.6618*'Ф2-Перечень меропр с прям зат '!CI12+6*'Ф2-Перечень меропр с прям зат '!BZ7</f>
        <v>27.736817499608264</v>
      </c>
      <c r="AM16" s="199" t="s">
        <v>344</v>
      </c>
      <c r="AN16" s="200">
        <f>AN14+AN15</f>
        <v>950.69495100000006</v>
      </c>
    </row>
    <row r="17" spans="1:40" ht="63" customHeight="1">
      <c r="A17" s="341"/>
      <c r="B17" s="341"/>
      <c r="C17" s="303">
        <v>6</v>
      </c>
      <c r="D17" s="371" t="s">
        <v>104</v>
      </c>
      <c r="E17" s="70" t="s">
        <v>378</v>
      </c>
      <c r="F17" s="44">
        <f t="shared" si="1"/>
        <v>0</v>
      </c>
      <c r="G17" s="44">
        <f t="shared" si="2"/>
        <v>0</v>
      </c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J17" s="201">
        <f>'Ф2-Перечень меропр с прям зат '!BE130</f>
        <v>11.206653700000002</v>
      </c>
      <c r="AK17" s="201">
        <v>11.037092350000002</v>
      </c>
      <c r="AL17" s="201">
        <v>12.820867</v>
      </c>
      <c r="AM17" s="201">
        <v>15.58076865</v>
      </c>
      <c r="AN17" s="201">
        <v>15.461519299999999</v>
      </c>
    </row>
    <row r="18" spans="1:40" ht="15.75" customHeight="1">
      <c r="A18" s="342"/>
      <c r="B18" s="342"/>
      <c r="C18" s="303"/>
      <c r="D18" s="371"/>
      <c r="E18" s="70" t="s">
        <v>218</v>
      </c>
      <c r="F18" s="44">
        <f t="shared" si="1"/>
        <v>0</v>
      </c>
      <c r="G18" s="44">
        <f t="shared" si="2"/>
        <v>0</v>
      </c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</row>
    <row r="19" spans="1:40" ht="31.5" customHeight="1">
      <c r="A19" s="341"/>
      <c r="B19" s="341"/>
      <c r="C19" s="303">
        <v>7</v>
      </c>
      <c r="D19" s="371" t="s">
        <v>105</v>
      </c>
      <c r="E19" s="70" t="s">
        <v>378</v>
      </c>
      <c r="F19" s="44">
        <f t="shared" si="1"/>
        <v>0</v>
      </c>
      <c r="G19" s="44">
        <f t="shared" si="2"/>
        <v>0</v>
      </c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I19" s="199" t="s">
        <v>345</v>
      </c>
      <c r="AJ19" s="198">
        <f>AJ13+AJ17</f>
        <v>203.29685369999999</v>
      </c>
      <c r="AK19" s="198">
        <f t="shared" ref="AK19:AM19" si="4">AK13+AK17</f>
        <v>174.62177234999999</v>
      </c>
      <c r="AL19" s="198">
        <f t="shared" si="4"/>
        <v>153.27715699999999</v>
      </c>
      <c r="AM19" s="198">
        <f t="shared" si="4"/>
        <v>211.05764865000003</v>
      </c>
      <c r="AN19" s="198">
        <f>AN13+AN17</f>
        <v>208.44151930000001</v>
      </c>
    </row>
    <row r="20" spans="1:40" ht="15.75" customHeight="1">
      <c r="A20" s="342"/>
      <c r="B20" s="342"/>
      <c r="C20" s="303"/>
      <c r="D20" s="371"/>
      <c r="E20" s="70" t="s">
        <v>218</v>
      </c>
      <c r="F20" s="44">
        <f t="shared" si="1"/>
        <v>0</v>
      </c>
      <c r="G20" s="44">
        <f t="shared" si="2"/>
        <v>0</v>
      </c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73"/>
      <c r="T20" s="173"/>
      <c r="U20" s="173"/>
      <c r="V20" s="173"/>
      <c r="W20" s="173"/>
      <c r="X20" s="173"/>
      <c r="Y20" s="173"/>
      <c r="Z20" s="173"/>
      <c r="AA20" s="173"/>
      <c r="AB20" s="173"/>
      <c r="AC20" s="173"/>
      <c r="AD20" s="173"/>
      <c r="AE20" s="173"/>
      <c r="AF20" s="173"/>
      <c r="AG20" s="173"/>
    </row>
    <row r="21" spans="1:40">
      <c r="A21" s="59"/>
      <c r="B21" s="59"/>
      <c r="C21" s="59"/>
      <c r="D21" s="48" t="s">
        <v>11</v>
      </c>
      <c r="E21" s="59"/>
      <c r="F21" s="202">
        <f>SUM(F8:F20)</f>
        <v>82.812026302000007</v>
      </c>
      <c r="G21" s="202">
        <f>SUM(G8:G20)</f>
        <v>31.103901502000003</v>
      </c>
      <c r="H21" s="202">
        <f>SUM(H8:H20)</f>
        <v>3732.46818024</v>
      </c>
      <c r="I21" s="202">
        <f>SUM(I8:I20)</f>
        <v>59.100162527461137</v>
      </c>
      <c r="J21" s="203"/>
      <c r="K21" s="202">
        <f t="shared" ref="K21:L21" si="5">SUM(K8:K20)</f>
        <v>1042.7274000000002</v>
      </c>
      <c r="L21" s="202">
        <f t="shared" si="5"/>
        <v>17.212457990773842</v>
      </c>
      <c r="M21" s="203"/>
      <c r="N21" s="202">
        <f t="shared" ref="N21:O21" si="6">SUM(N8:N20)</f>
        <v>883.90415999999993</v>
      </c>
      <c r="O21" s="202">
        <f t="shared" si="6"/>
        <v>13.056793322479294</v>
      </c>
      <c r="P21" s="203"/>
      <c r="Q21" s="202">
        <f t="shared" ref="Q21:R21" si="7">SUM(Q8:Q20)</f>
        <v>626.74970399999995</v>
      </c>
      <c r="R21" s="202">
        <f t="shared" si="7"/>
        <v>9.6187751157520189</v>
      </c>
      <c r="S21" s="202">
        <f t="shared" ref="S21:U21" si="8">SUM(S8:S20)</f>
        <v>9.8257243019999994</v>
      </c>
      <c r="T21" s="202">
        <f t="shared" si="8"/>
        <v>1179.0869162399997</v>
      </c>
      <c r="U21" s="202">
        <f t="shared" si="8"/>
        <v>19.212136098455986</v>
      </c>
      <c r="V21" s="202">
        <f t="shared" ref="V21:Y21" si="9">SUM(V8:V20)</f>
        <v>5.207805200000001</v>
      </c>
      <c r="W21" s="202">
        <f t="shared" si="9"/>
        <v>624.93662400000005</v>
      </c>
      <c r="X21" s="202">
        <f t="shared" si="9"/>
        <v>13.195135150411481</v>
      </c>
      <c r="Y21" s="202">
        <f t="shared" si="9"/>
        <v>33.271476</v>
      </c>
      <c r="Z21" s="202">
        <f t="shared" ref="Z21:AA21" si="10">SUM(Z8:Z20)</f>
        <v>3992.5771200000004</v>
      </c>
      <c r="AA21" s="202">
        <f t="shared" si="10"/>
        <v>68.209024756174657</v>
      </c>
      <c r="AB21" s="202">
        <f t="shared" ref="AB21:AE21" si="11">SUM(AB8:AB20)</f>
        <v>3.3925036</v>
      </c>
      <c r="AC21" s="202">
        <f t="shared" si="11"/>
        <v>407.10043199999996</v>
      </c>
      <c r="AD21" s="202">
        <f t="shared" si="11"/>
        <v>11.619254863421643</v>
      </c>
      <c r="AE21" s="202">
        <f t="shared" si="11"/>
        <v>9.8363399999999999</v>
      </c>
      <c r="AF21" s="202">
        <f t="shared" ref="AF21:AG21" si="12">SUM(AF8:AF20)</f>
        <v>1180.3607999999999</v>
      </c>
      <c r="AG21" s="202">
        <f t="shared" si="12"/>
        <v>28.142869852980699</v>
      </c>
    </row>
    <row r="25" spans="1:40">
      <c r="D25" s="49" t="s">
        <v>346</v>
      </c>
      <c r="G25" s="204">
        <f>G21+'Ф2-Перечень меропр с прям зат '!Y130</f>
        <v>47.718757781999997</v>
      </c>
      <c r="V25" s="204">
        <f>V21+'Ф2-Перечень меропр с прям зат '!AN130</f>
        <v>7.6500808520000012</v>
      </c>
      <c r="Y25" s="204">
        <f>Y21+'Ф2-Перечень меропр с прям зат '!AQ130</f>
        <v>36.163368261999999</v>
      </c>
      <c r="AB25" s="204">
        <f>AB21+'Ф2-Перечень меропр с прям зат '!AT130</f>
        <v>6.7078270389999997</v>
      </c>
      <c r="AE25" s="204">
        <f>AE21+'Ф2-Перечень меропр с прям зат '!AW130</f>
        <v>12.771119430320001</v>
      </c>
    </row>
  </sheetData>
  <mergeCells count="41">
    <mergeCell ref="C4:C6"/>
    <mergeCell ref="D4:D6"/>
    <mergeCell ref="E4:E6"/>
    <mergeCell ref="F4:AG4"/>
    <mergeCell ref="AE5:AG5"/>
    <mergeCell ref="G5:I5"/>
    <mergeCell ref="V5:X5"/>
    <mergeCell ref="Y5:AA5"/>
    <mergeCell ref="AB5:AD5"/>
    <mergeCell ref="F5:F6"/>
    <mergeCell ref="S5:U5"/>
    <mergeCell ref="D19:D20"/>
    <mergeCell ref="C19:C20"/>
    <mergeCell ref="D8:D9"/>
    <mergeCell ref="C8:C9"/>
    <mergeCell ref="D10:D11"/>
    <mergeCell ref="C10:C11"/>
    <mergeCell ref="D12:D13"/>
    <mergeCell ref="C12:C13"/>
    <mergeCell ref="A10:A11"/>
    <mergeCell ref="B10:B11"/>
    <mergeCell ref="D14:D15"/>
    <mergeCell ref="C14:C15"/>
    <mergeCell ref="D17:D18"/>
    <mergeCell ref="C17:C18"/>
    <mergeCell ref="AI7:AN7"/>
    <mergeCell ref="A19:A20"/>
    <mergeCell ref="B19:B20"/>
    <mergeCell ref="J5:L5"/>
    <mergeCell ref="M5:O5"/>
    <mergeCell ref="P5:R5"/>
    <mergeCell ref="A12:A13"/>
    <mergeCell ref="B12:B13"/>
    <mergeCell ref="A14:A15"/>
    <mergeCell ref="B14:B15"/>
    <mergeCell ref="A17:A18"/>
    <mergeCell ref="B17:B18"/>
    <mergeCell ref="A4:A6"/>
    <mergeCell ref="B4:B6"/>
    <mergeCell ref="B8:B9"/>
    <mergeCell ref="A8:A9"/>
  </mergeCells>
  <pageMargins left="0.70866141732283472" right="0.70866141732283472" top="0.74803149606299213" bottom="0.74803149606299213" header="0.31496062992125984" footer="0.31496062992125984"/>
  <pageSetup paperSize="8" scale="3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2:R80"/>
  <sheetViews>
    <sheetView view="pageBreakPreview" topLeftCell="B1" zoomScaleSheetLayoutView="100" workbookViewId="0">
      <pane xSplit="2" ySplit="6" topLeftCell="D7" activePane="bottomRight" state="frozen"/>
      <selection activeCell="B1" sqref="B1"/>
      <selection pane="topRight" activeCell="D1" sqref="D1"/>
      <selection pane="bottomLeft" activeCell="B7" sqref="B7"/>
      <selection pane="bottomRight" activeCell="K19" sqref="K19"/>
    </sheetView>
  </sheetViews>
  <sheetFormatPr defaultColWidth="9.140625" defaultRowHeight="15"/>
  <cols>
    <col min="1" max="1" width="7.42578125" style="87" customWidth="1"/>
    <col min="2" max="2" width="44.7109375" style="87" customWidth="1"/>
    <col min="3" max="3" width="16.7109375" style="87" customWidth="1"/>
    <col min="4" max="5" width="14.5703125" style="87" customWidth="1"/>
    <col min="6" max="6" width="13.140625" style="87" customWidth="1"/>
    <col min="7" max="7" width="12.28515625" style="87" bestFit="1" customWidth="1"/>
    <col min="8" max="11" width="12.140625" style="87" bestFit="1" customWidth="1"/>
    <col min="12" max="12" width="11.5703125" style="87" bestFit="1" customWidth="1"/>
    <col min="13" max="13" width="12" style="87" customWidth="1"/>
    <col min="14" max="14" width="11.85546875" style="87" customWidth="1"/>
    <col min="15" max="15" width="11.5703125" style="87" bestFit="1" customWidth="1"/>
    <col min="16" max="16" width="11.42578125" style="87" customWidth="1"/>
    <col min="17" max="17" width="10.7109375" style="87" customWidth="1"/>
    <col min="18" max="16384" width="9.140625" style="87"/>
  </cols>
  <sheetData>
    <row r="2" spans="1:15">
      <c r="A2" s="139" t="s">
        <v>221</v>
      </c>
      <c r="B2" s="139"/>
      <c r="C2" s="139"/>
      <c r="D2" s="139"/>
      <c r="E2" s="139"/>
    </row>
    <row r="3" spans="1:15" ht="15.75" thickBot="1">
      <c r="A3" s="139"/>
      <c r="B3" s="139"/>
      <c r="C3" s="139"/>
      <c r="D3" s="139"/>
      <c r="E3" s="139"/>
    </row>
    <row r="4" spans="1:15" ht="15" customHeight="1">
      <c r="A4" s="396" t="s">
        <v>22</v>
      </c>
      <c r="B4" s="398" t="s">
        <v>24</v>
      </c>
      <c r="C4" s="398" t="s">
        <v>23</v>
      </c>
      <c r="D4" s="398">
        <v>2012</v>
      </c>
      <c r="E4" s="394" t="s">
        <v>112</v>
      </c>
      <c r="F4" s="394">
        <v>2014</v>
      </c>
      <c r="G4" s="184">
        <v>2015</v>
      </c>
      <c r="H4" s="184">
        <v>2016</v>
      </c>
      <c r="I4" s="184">
        <v>2017</v>
      </c>
      <c r="J4" s="184">
        <v>2018</v>
      </c>
      <c r="K4" s="186">
        <v>2019</v>
      </c>
    </row>
    <row r="5" spans="1:15" ht="15" customHeight="1" thickBot="1">
      <c r="A5" s="397"/>
      <c r="B5" s="399"/>
      <c r="C5" s="399"/>
      <c r="D5" s="399"/>
      <c r="E5" s="395"/>
      <c r="F5" s="395"/>
      <c r="G5" s="18" t="s">
        <v>114</v>
      </c>
      <c r="H5" s="18" t="s">
        <v>114</v>
      </c>
      <c r="I5" s="18" t="s">
        <v>114</v>
      </c>
      <c r="J5" s="18" t="s">
        <v>114</v>
      </c>
      <c r="K5" s="19" t="s">
        <v>114</v>
      </c>
    </row>
    <row r="6" spans="1:15" ht="14.25" customHeight="1" thickBot="1">
      <c r="A6" s="250">
        <v>1</v>
      </c>
      <c r="B6" s="251">
        <v>2</v>
      </c>
      <c r="C6" s="251">
        <v>3</v>
      </c>
      <c r="D6" s="251">
        <v>4</v>
      </c>
      <c r="E6" s="251">
        <v>5</v>
      </c>
      <c r="F6" s="251">
        <v>6</v>
      </c>
      <c r="G6" s="251">
        <v>7</v>
      </c>
      <c r="H6" s="251">
        <v>8</v>
      </c>
      <c r="I6" s="251">
        <v>9</v>
      </c>
      <c r="J6" s="251">
        <v>10</v>
      </c>
      <c r="K6" s="37">
        <v>11</v>
      </c>
    </row>
    <row r="7" spans="1:15" ht="30" customHeight="1">
      <c r="A7" s="15" t="s">
        <v>148</v>
      </c>
      <c r="B7" s="249" t="s">
        <v>44</v>
      </c>
      <c r="C7" s="249" t="s">
        <v>372</v>
      </c>
      <c r="D7" s="252">
        <v>4052.48</v>
      </c>
      <c r="E7" s="253">
        <f>'Ф1-Целевые показатели программ'!E7</f>
        <v>4119.0389999999998</v>
      </c>
      <c r="F7" s="253">
        <f>'Ф1-Целевые показатели программ'!F7</f>
        <v>4200.674</v>
      </c>
      <c r="G7" s="253">
        <f>'Ф1-Целевые показатели программ'!G7</f>
        <v>4181.0868</v>
      </c>
      <c r="H7" s="253">
        <f>'Ф1-Целевые показатели программ'!L7</f>
        <v>4252.165</v>
      </c>
      <c r="I7" s="253">
        <f>'Ф1-Целевые показатели программ'!M7</f>
        <v>4345.7129999999997</v>
      </c>
      <c r="J7" s="253">
        <f>'Ф1-Целевые показатели программ'!N7</f>
        <v>4423.9359999999997</v>
      </c>
      <c r="K7" s="253">
        <f>'Ф1-Целевые показатели программ'!O7</f>
        <v>4499.143</v>
      </c>
      <c r="L7" s="254"/>
      <c r="M7" s="254"/>
      <c r="N7" s="254"/>
      <c r="O7" s="254"/>
    </row>
    <row r="8" spans="1:15" ht="18" customHeight="1">
      <c r="A8" s="185" t="s">
        <v>39</v>
      </c>
      <c r="B8" s="175" t="s">
        <v>63</v>
      </c>
      <c r="C8" s="249" t="s">
        <v>372</v>
      </c>
      <c r="D8" s="255">
        <v>3678.6289999999999</v>
      </c>
      <c r="E8" s="253">
        <f>'Ф1-Целевые показатели программ'!E8</f>
        <v>3778.1019999999999</v>
      </c>
      <c r="F8" s="253">
        <f>'Ф1-Целевые показатели программ'!F8</f>
        <v>3860.498</v>
      </c>
      <c r="G8" s="253">
        <f>'Ф1-Целевые показатели программ'!G8</f>
        <v>3848.9120000000003</v>
      </c>
      <c r="H8" s="253">
        <f>'Ф1-Целевые показатели программ'!L8</f>
        <v>3914.3429999999998</v>
      </c>
      <c r="I8" s="253">
        <f>'Ф1-Целевые показатели программ'!M8</f>
        <v>4000.4589999999998</v>
      </c>
      <c r="J8" s="253">
        <f>'Ф1-Целевые показатели программ'!N8</f>
        <v>4072.4679999999998</v>
      </c>
      <c r="K8" s="253">
        <f>'Ф1-Целевые показатели программ'!O8</f>
        <v>4141.7</v>
      </c>
    </row>
    <row r="9" spans="1:15" ht="12.75" customHeight="1">
      <c r="A9" s="185" t="s">
        <v>40</v>
      </c>
      <c r="B9" s="175" t="s">
        <v>64</v>
      </c>
      <c r="C9" s="249" t="s">
        <v>372</v>
      </c>
      <c r="D9" s="255"/>
      <c r="E9" s="253">
        <f>'Ф1-Целевые показатели программ'!E9</f>
        <v>0</v>
      </c>
      <c r="F9" s="253">
        <f>'Ф1-Целевые показатели программ'!F9</f>
        <v>0</v>
      </c>
      <c r="G9" s="253">
        <f>'Ф1-Целевые показатели программ'!G9</f>
        <v>0</v>
      </c>
      <c r="H9" s="253">
        <f>'Ф1-Целевые показатели программ'!L9</f>
        <v>0</v>
      </c>
      <c r="I9" s="253">
        <f>'Ф1-Целевые показатели программ'!M9</f>
        <v>0</v>
      </c>
      <c r="J9" s="253">
        <f>'Ф1-Целевые показатели программ'!N9</f>
        <v>0</v>
      </c>
      <c r="K9" s="253">
        <f>'Ф1-Целевые показатели программ'!O9</f>
        <v>0</v>
      </c>
    </row>
    <row r="10" spans="1:15" ht="15" customHeight="1">
      <c r="A10" s="185" t="s">
        <v>41</v>
      </c>
      <c r="B10" s="175" t="s">
        <v>65</v>
      </c>
      <c r="C10" s="249" t="s">
        <v>372</v>
      </c>
      <c r="D10" s="255">
        <v>3480.25</v>
      </c>
      <c r="E10" s="253">
        <f>'Ф1-Целевые показатели программ'!E10</f>
        <v>3556.32</v>
      </c>
      <c r="F10" s="253">
        <f>'Ф1-Целевые показатели программ'!F10</f>
        <v>3477.7249999999999</v>
      </c>
      <c r="G10" s="253">
        <f>'Ф1-Целевые показатели программ'!G10</f>
        <v>3455.2840000000001</v>
      </c>
      <c r="H10" s="253">
        <f>'Ф1-Целевые показатели программ'!L10</f>
        <v>3514.0239999999999</v>
      </c>
      <c r="I10" s="253">
        <f>'Ф1-Целевые показатели программ'!M10</f>
        <v>3591.3319999999999</v>
      </c>
      <c r="J10" s="253">
        <f>'Ф1-Целевые показатели программ'!N10</f>
        <v>3655.9769999999999</v>
      </c>
      <c r="K10" s="253">
        <f>'Ф1-Целевые показатели программ'!O10</f>
        <v>3718.1280000000002</v>
      </c>
    </row>
    <row r="11" spans="1:15" ht="12.75" customHeight="1">
      <c r="A11" s="185" t="s">
        <v>42</v>
      </c>
      <c r="B11" s="175" t="s">
        <v>66</v>
      </c>
      <c r="C11" s="249" t="s">
        <v>372</v>
      </c>
      <c r="D11" s="255">
        <v>1897.818</v>
      </c>
      <c r="E11" s="253">
        <f>'Ф1-Целевые показатели программ'!E11</f>
        <v>1979.962</v>
      </c>
      <c r="F11" s="253">
        <f>'Ф1-Целевые показатели программ'!F11</f>
        <v>1931.655</v>
      </c>
      <c r="G11" s="253">
        <f>'Ф1-Целевые показатели программ'!G11</f>
        <v>1907.6770000000001</v>
      </c>
      <c r="H11" s="253">
        <f>'Ф1-Целевые показатели программ'!L11</f>
        <v>1940.107</v>
      </c>
      <c r="I11" s="253">
        <f>'Ф1-Целевые показатели программ'!M11</f>
        <v>1982.79</v>
      </c>
      <c r="J11" s="253">
        <f>'Ф1-Целевые показатели программ'!N11</f>
        <v>2018.48</v>
      </c>
      <c r="K11" s="253">
        <f>'Ф1-Целевые показатели программ'!O11</f>
        <v>2052.7939999999999</v>
      </c>
    </row>
    <row r="12" spans="1:15" ht="18.75" customHeight="1">
      <c r="A12" s="185" t="s">
        <v>149</v>
      </c>
      <c r="B12" s="105" t="s">
        <v>147</v>
      </c>
      <c r="C12" s="249" t="s">
        <v>372</v>
      </c>
      <c r="D12" s="253">
        <f>SUM(D13:D16)</f>
        <v>3326.42</v>
      </c>
      <c r="E12" s="253">
        <f t="shared" ref="E12:K12" si="0">SUM(E13:E16)</f>
        <v>3322.8670000000002</v>
      </c>
      <c r="F12" s="253">
        <f t="shared" si="0"/>
        <v>3380.6059999999998</v>
      </c>
      <c r="G12" s="253">
        <f t="shared" si="0"/>
        <v>3458.058</v>
      </c>
      <c r="H12" s="253">
        <f t="shared" si="0"/>
        <v>3516.8180000000002</v>
      </c>
      <c r="I12" s="253">
        <f t="shared" si="0"/>
        <v>3639.152</v>
      </c>
      <c r="J12" s="253">
        <f t="shared" si="0"/>
        <v>3704.6640000000002</v>
      </c>
      <c r="K12" s="253">
        <f t="shared" si="0"/>
        <v>3788.0190000000002</v>
      </c>
    </row>
    <row r="13" spans="1:15" ht="15" customHeight="1">
      <c r="A13" s="185" t="s">
        <v>45</v>
      </c>
      <c r="B13" s="175" t="s">
        <v>63</v>
      </c>
      <c r="C13" s="249" t="s">
        <v>372</v>
      </c>
      <c r="D13" s="255">
        <v>465.63600000000002</v>
      </c>
      <c r="E13" s="255">
        <v>468.08</v>
      </c>
      <c r="F13" s="131">
        <v>543.39800000000002</v>
      </c>
      <c r="G13" s="131">
        <v>556</v>
      </c>
      <c r="H13" s="131">
        <v>565.44799999999998</v>
      </c>
      <c r="I13" s="131">
        <v>593.11699999999996</v>
      </c>
      <c r="J13" s="131">
        <v>604.79399999999998</v>
      </c>
      <c r="K13" s="131">
        <v>635.40200000000004</v>
      </c>
    </row>
    <row r="14" spans="1:15" ht="14.25" customHeight="1">
      <c r="A14" s="185" t="s">
        <v>46</v>
      </c>
      <c r="B14" s="175" t="s">
        <v>64</v>
      </c>
      <c r="C14" s="249" t="s">
        <v>372</v>
      </c>
      <c r="D14" s="255"/>
      <c r="E14" s="255"/>
      <c r="F14" s="131"/>
      <c r="G14" s="131"/>
      <c r="H14" s="131"/>
      <c r="I14" s="131"/>
      <c r="J14" s="131"/>
      <c r="K14" s="131"/>
    </row>
    <row r="15" spans="1:15" ht="13.5" customHeight="1">
      <c r="A15" s="185" t="s">
        <v>47</v>
      </c>
      <c r="B15" s="175" t="s">
        <v>65</v>
      </c>
      <c r="C15" s="249" t="s">
        <v>372</v>
      </c>
      <c r="D15" s="255">
        <v>1383.5509999999999</v>
      </c>
      <c r="E15" s="255">
        <v>1365.8969999999999</v>
      </c>
      <c r="F15" s="131">
        <v>1352.819</v>
      </c>
      <c r="G15" s="131">
        <v>1383.788</v>
      </c>
      <c r="H15" s="131">
        <v>1407.3019999999999</v>
      </c>
      <c r="I15" s="131">
        <v>1476.2560000000001</v>
      </c>
      <c r="J15" s="131">
        <v>1509.8320000000001</v>
      </c>
      <c r="K15" s="131">
        <v>1572.8030000000001</v>
      </c>
    </row>
    <row r="16" spans="1:15" ht="12.75" customHeight="1">
      <c r="A16" s="185" t="s">
        <v>48</v>
      </c>
      <c r="B16" s="175" t="s">
        <v>66</v>
      </c>
      <c r="C16" s="249" t="s">
        <v>372</v>
      </c>
      <c r="D16" s="255">
        <v>1477.2329999999999</v>
      </c>
      <c r="E16" s="255">
        <v>1488.89</v>
      </c>
      <c r="F16" s="131">
        <v>1484.3889999999999</v>
      </c>
      <c r="G16" s="131">
        <v>1518.27</v>
      </c>
      <c r="H16" s="131">
        <v>1544.068</v>
      </c>
      <c r="I16" s="131">
        <v>1569.779</v>
      </c>
      <c r="J16" s="131">
        <v>1590.038</v>
      </c>
      <c r="K16" s="131">
        <v>1579.8140000000001</v>
      </c>
    </row>
    <row r="17" spans="1:13" ht="60" customHeight="1">
      <c r="A17" s="185" t="s">
        <v>150</v>
      </c>
      <c r="B17" s="105" t="s">
        <v>389</v>
      </c>
      <c r="C17" s="249" t="s">
        <v>372</v>
      </c>
      <c r="D17" s="41">
        <f>D7</f>
        <v>4052.48</v>
      </c>
      <c r="E17" s="253">
        <f>'Ф1-Целевые показатели программ'!E12</f>
        <v>4119.0389999999998</v>
      </c>
      <c r="F17" s="253">
        <f>'Ф1-Целевые показатели программ'!F12</f>
        <v>4200.674</v>
      </c>
      <c r="G17" s="253">
        <f>'Ф1-Целевые показатели программ'!G12</f>
        <v>4181.0868</v>
      </c>
      <c r="H17" s="253">
        <f>'Ф1-Целевые показатели программ'!L12</f>
        <v>4252.165</v>
      </c>
      <c r="I17" s="253">
        <f>'Ф1-Целевые показатели программ'!M12</f>
        <v>4345.7129999999997</v>
      </c>
      <c r="J17" s="253">
        <f>'Ф1-Целевые показатели программ'!N12</f>
        <v>4423.9359999999997</v>
      </c>
      <c r="K17" s="253">
        <f>'Ф1-Целевые показатели программ'!O12</f>
        <v>4499.143</v>
      </c>
    </row>
    <row r="18" spans="1:13" ht="59.25" customHeight="1">
      <c r="A18" s="185" t="s">
        <v>151</v>
      </c>
      <c r="B18" s="152" t="s">
        <v>277</v>
      </c>
      <c r="C18" s="249" t="s">
        <v>372</v>
      </c>
      <c r="D18" s="41">
        <f>D7</f>
        <v>4052.48</v>
      </c>
      <c r="E18" s="253">
        <f>'Ф1-Целевые показатели программ'!E13</f>
        <v>4119.0389999999998</v>
      </c>
      <c r="F18" s="253">
        <f>'Ф1-Целевые показатели программ'!F13</f>
        <v>4200.674</v>
      </c>
      <c r="G18" s="253">
        <f>'Ф1-Целевые показатели программ'!G13</f>
        <v>4181.0868</v>
      </c>
      <c r="H18" s="253">
        <f>'Ф1-Целевые показатели программ'!L13</f>
        <v>4252.165</v>
      </c>
      <c r="I18" s="253">
        <f>'Ф1-Целевые показатели программ'!M13</f>
        <v>4345.7129999999997</v>
      </c>
      <c r="J18" s="253">
        <f>'Ф1-Целевые показатели программ'!N13</f>
        <v>4423.9359999999997</v>
      </c>
      <c r="K18" s="253">
        <f>'Ф1-Целевые показатели программ'!O13</f>
        <v>4499.143</v>
      </c>
    </row>
    <row r="19" spans="1:13" ht="18.75" customHeight="1">
      <c r="A19" s="185" t="s">
        <v>56</v>
      </c>
      <c r="B19" s="175" t="s">
        <v>63</v>
      </c>
      <c r="C19" s="249" t="s">
        <v>372</v>
      </c>
      <c r="D19" s="41">
        <f>D8</f>
        <v>3678.6289999999999</v>
      </c>
      <c r="E19" s="253">
        <f>'Ф1-Целевые показатели программ'!E14</f>
        <v>3778.1019999999999</v>
      </c>
      <c r="F19" s="253">
        <f>'Ф1-Целевые показатели программ'!F14</f>
        <v>3860.498</v>
      </c>
      <c r="G19" s="253">
        <f>'Ф1-Целевые показатели программ'!G14</f>
        <v>3848.9120000000003</v>
      </c>
      <c r="H19" s="253">
        <f>'Ф1-Целевые показатели программ'!L14</f>
        <v>3914.3429999999998</v>
      </c>
      <c r="I19" s="253">
        <f>'Ф1-Целевые показатели программ'!M14</f>
        <v>4000.4589999999998</v>
      </c>
      <c r="J19" s="253">
        <f>'Ф1-Целевые показатели программ'!N14</f>
        <v>4072.4679999999998</v>
      </c>
      <c r="K19" s="253">
        <f>'Ф1-Целевые показатели программ'!O14</f>
        <v>4141.7</v>
      </c>
    </row>
    <row r="20" spans="1:13" ht="18.75" customHeight="1">
      <c r="A20" s="185" t="s">
        <v>58</v>
      </c>
      <c r="B20" s="175" t="s">
        <v>64</v>
      </c>
      <c r="C20" s="249" t="s">
        <v>372</v>
      </c>
      <c r="D20" s="41"/>
      <c r="E20" s="253">
        <f>'Ф1-Целевые показатели программ'!E15</f>
        <v>0</v>
      </c>
      <c r="F20" s="253">
        <f>'Ф1-Целевые показатели программ'!F15</f>
        <v>0</v>
      </c>
      <c r="G20" s="253">
        <f>'Ф1-Целевые показатели программ'!G15</f>
        <v>0</v>
      </c>
      <c r="H20" s="253">
        <f>'Ф1-Целевые показатели программ'!L15</f>
        <v>0</v>
      </c>
      <c r="I20" s="253">
        <f>'Ф1-Целевые показатели программ'!M15</f>
        <v>0</v>
      </c>
      <c r="J20" s="253">
        <f>'Ф1-Целевые показатели программ'!N15</f>
        <v>0</v>
      </c>
      <c r="K20" s="253">
        <f>'Ф1-Целевые показатели программ'!O15</f>
        <v>0</v>
      </c>
    </row>
    <row r="21" spans="1:13" ht="18.75" customHeight="1">
      <c r="A21" s="185" t="s">
        <v>81</v>
      </c>
      <c r="B21" s="175" t="s">
        <v>65</v>
      </c>
      <c r="C21" s="249" t="s">
        <v>372</v>
      </c>
      <c r="D21" s="41">
        <v>2999.183</v>
      </c>
      <c r="E21" s="253">
        <f>'Ф1-Целевые показатели программ'!E16</f>
        <v>3029.4549999999999</v>
      </c>
      <c r="F21" s="253">
        <f>'Ф1-Целевые показатели программ'!F16</f>
        <v>2932.8310000000001</v>
      </c>
      <c r="G21" s="253">
        <f>'Ф1-Целевые показатели программ'!G16</f>
        <v>2906.5060000000003</v>
      </c>
      <c r="H21" s="253">
        <f>'Ф1-Целевые показатели программ'!L16</f>
        <v>2955.9160000000002</v>
      </c>
      <c r="I21" s="253">
        <f>'Ф1-Целевые показатели программ'!M16</f>
        <v>3020.9470000000001</v>
      </c>
      <c r="J21" s="253">
        <f>'Ф1-Целевые показатели программ'!N16</f>
        <v>3075.3240000000001</v>
      </c>
      <c r="K21" s="253">
        <f>'Ф1-Целевые показатели программ'!O16</f>
        <v>3127.605</v>
      </c>
    </row>
    <row r="22" spans="1:13" ht="18.75" customHeight="1">
      <c r="A22" s="185" t="s">
        <v>82</v>
      </c>
      <c r="B22" s="175" t="s">
        <v>66</v>
      </c>
      <c r="C22" s="249" t="s">
        <v>372</v>
      </c>
      <c r="D22" s="41">
        <v>1659.9749999999999</v>
      </c>
      <c r="E22" s="253">
        <f>'Ф1-Целевые показатели программ'!E17</f>
        <v>1718.441</v>
      </c>
      <c r="F22" s="253">
        <f>'Ф1-Целевые показатели программ'!F17</f>
        <v>1668.22</v>
      </c>
      <c r="G22" s="253">
        <f>'Ф1-Целевые показатели программ'!G17</f>
        <v>1642.2149999999999</v>
      </c>
      <c r="H22" s="253">
        <f>'Ф1-Целевые показатели программ'!L17</f>
        <v>1670.133</v>
      </c>
      <c r="I22" s="253">
        <f>'Ф1-Целевые показатели программ'!M17</f>
        <v>1706.876</v>
      </c>
      <c r="J22" s="253">
        <f>'Ф1-Целевые показатели программ'!N17</f>
        <v>1737.5989999999999</v>
      </c>
      <c r="K22" s="253">
        <f>'Ф1-Целевые показатели программ'!O17</f>
        <v>1767.1389999999999</v>
      </c>
    </row>
    <row r="23" spans="1:13" ht="18.75" customHeight="1">
      <c r="A23" s="401">
        <v>5</v>
      </c>
      <c r="B23" s="400" t="s">
        <v>69</v>
      </c>
      <c r="C23" s="249" t="s">
        <v>372</v>
      </c>
      <c r="D23" s="253">
        <f>D7-D12</f>
        <v>726.06</v>
      </c>
      <c r="E23" s="253">
        <f>'Ф1-Целевые показатели программ'!E18</f>
        <v>796.173</v>
      </c>
      <c r="F23" s="253">
        <f>'Ф1-Целевые показатели программ'!F18</f>
        <v>820.06899999999996</v>
      </c>
      <c r="G23" s="253">
        <f>'Ф1-Целевые показатели программ'!G18</f>
        <v>745.56499999999994</v>
      </c>
      <c r="H23" s="253">
        <f>'Ф1-Целевые показатели программ'!L18</f>
        <v>753.05799999999999</v>
      </c>
      <c r="I23" s="253">
        <f>'Ф1-Целевые показатели программ'!M18</f>
        <v>764.41099999999994</v>
      </c>
      <c r="J23" s="253">
        <f>'Ф1-Целевые показатели программ'!N18</f>
        <v>764.01400000000001</v>
      </c>
      <c r="K23" s="253">
        <f>'Ф1-Целевые показатели программ'!O18</f>
        <v>771.60299999999995</v>
      </c>
      <c r="M23" s="88">
        <f>E23-G23</f>
        <v>50.608000000000061</v>
      </c>
    </row>
    <row r="24" spans="1:13" s="139" customFormat="1" ht="18.75" customHeight="1">
      <c r="A24" s="401"/>
      <c r="B24" s="400"/>
      <c r="C24" s="185" t="s">
        <v>74</v>
      </c>
      <c r="D24" s="113">
        <f>IF(D7&gt;0,D23/D$7*100,"")</f>
        <v>17.916436355022107</v>
      </c>
      <c r="E24" s="113">
        <f t="shared" ref="E24" si="1">IF(E7&gt;0,E23/E$7*100,"")</f>
        <v>19.329095937183407</v>
      </c>
      <c r="F24" s="113">
        <f t="shared" ref="F24:K24" si="2">IF(F7&gt;0,F23/F$7*100,"")</f>
        <v>19.522319513487595</v>
      </c>
      <c r="G24" s="113">
        <f t="shared" si="2"/>
        <v>17.831846973375438</v>
      </c>
      <c r="H24" s="113">
        <f t="shared" si="2"/>
        <v>17.709990087402534</v>
      </c>
      <c r="I24" s="113">
        <f t="shared" si="2"/>
        <v>17.5900019168316</v>
      </c>
      <c r="J24" s="113">
        <f t="shared" si="2"/>
        <v>17.270005714368384</v>
      </c>
      <c r="K24" s="113">
        <f t="shared" si="2"/>
        <v>17.149999455451848</v>
      </c>
    </row>
    <row r="25" spans="1:13" s="139" customFormat="1" ht="18.75" customHeight="1">
      <c r="A25" s="401"/>
      <c r="B25" s="400"/>
      <c r="C25" s="185" t="s">
        <v>152</v>
      </c>
      <c r="D25" s="113">
        <f>IF(D17&gt;0,D23/D17*100,"")</f>
        <v>17.916436355022107</v>
      </c>
      <c r="E25" s="113">
        <f t="shared" ref="E25" si="3">IF(E17&gt;0,E23/E17*100,"")</f>
        <v>19.329095937183407</v>
      </c>
      <c r="F25" s="113">
        <f t="shared" ref="F25:K25" si="4">IF(F17&gt;0,F23/F17*100,"")</f>
        <v>19.522319513487595</v>
      </c>
      <c r="G25" s="113">
        <f t="shared" si="4"/>
        <v>17.831846973375438</v>
      </c>
      <c r="H25" s="113">
        <f t="shared" si="4"/>
        <v>17.709990087402534</v>
      </c>
      <c r="I25" s="113">
        <f t="shared" si="4"/>
        <v>17.5900019168316</v>
      </c>
      <c r="J25" s="113">
        <f t="shared" si="4"/>
        <v>17.270005714368384</v>
      </c>
      <c r="K25" s="113">
        <f t="shared" si="4"/>
        <v>17.149999455451848</v>
      </c>
    </row>
    <row r="26" spans="1:13" ht="18.75" customHeight="1">
      <c r="A26" s="401" t="s">
        <v>83</v>
      </c>
      <c r="B26" s="402" t="s">
        <v>63</v>
      </c>
      <c r="C26" s="249" t="s">
        <v>372</v>
      </c>
      <c r="D26" s="41">
        <v>106.595</v>
      </c>
      <c r="E26" s="253">
        <f>'Ф1-Целевые показатели программ'!E22</f>
        <v>94.638999999999996</v>
      </c>
      <c r="F26" s="253">
        <f>'Ф1-Целевые показатели программ'!F22</f>
        <v>179.55099999999999</v>
      </c>
      <c r="G26" s="253">
        <f>'Ф1-Целевые показатели программ'!G22</f>
        <v>176.88300000000001</v>
      </c>
      <c r="H26" s="253">
        <f>'Ф1-Целевые показатели программ'!L22</f>
        <v>178.661</v>
      </c>
      <c r="I26" s="253">
        <f>'Ф1-Целевые показатели программ'!M22</f>
        <v>181.35400000000001</v>
      </c>
      <c r="J26" s="253">
        <f>'Ф1-Целевые показатели программ'!N22</f>
        <v>181.26</v>
      </c>
      <c r="K26" s="253">
        <f>'Ф1-Целевые показатели программ'!O22</f>
        <v>183.06</v>
      </c>
    </row>
    <row r="27" spans="1:13" s="139" customFormat="1" ht="18.75" customHeight="1">
      <c r="A27" s="401"/>
      <c r="B27" s="402"/>
      <c r="C27" s="185" t="s">
        <v>153</v>
      </c>
      <c r="D27" s="113">
        <f>IF(D8&gt;0,D26/D8*100,"")</f>
        <v>2.8976828051972623</v>
      </c>
      <c r="E27" s="113">
        <f t="shared" ref="E27" si="5">IF(E8&gt;0,E26/E8*100,"")</f>
        <v>2.5049350176358396</v>
      </c>
      <c r="F27" s="113">
        <f t="shared" ref="F27:K27" si="6">IF(F8&gt;0,F26/F8*100,"")</f>
        <v>4.6509802621319842</v>
      </c>
      <c r="G27" s="113">
        <f t="shared" si="6"/>
        <v>4.5956623586093936</v>
      </c>
      <c r="H27" s="113">
        <f t="shared" si="6"/>
        <v>4.5642653185988049</v>
      </c>
      <c r="I27" s="113">
        <f t="shared" si="6"/>
        <v>4.5333298004054043</v>
      </c>
      <c r="J27" s="113">
        <f t="shared" si="6"/>
        <v>4.4508637023053339</v>
      </c>
      <c r="K27" s="113">
        <f t="shared" si="6"/>
        <v>4.4199241857208396</v>
      </c>
    </row>
    <row r="28" spans="1:13" s="139" customFormat="1" ht="18.75" customHeight="1">
      <c r="A28" s="401"/>
      <c r="B28" s="402"/>
      <c r="C28" s="185" t="s">
        <v>154</v>
      </c>
      <c r="D28" s="113">
        <f>IF(D19&gt;0,D26/D19*100,"")</f>
        <v>2.8976828051972623</v>
      </c>
      <c r="E28" s="113">
        <f t="shared" ref="E28" si="7">IF(E19&gt;0,E26/E19*100,"")</f>
        <v>2.5049350176358396</v>
      </c>
      <c r="F28" s="113">
        <f t="shared" ref="F28:K28" si="8">IF(F19&gt;0,F26/F19*100,"")</f>
        <v>4.6509802621319842</v>
      </c>
      <c r="G28" s="113">
        <f t="shared" si="8"/>
        <v>4.5956623586093936</v>
      </c>
      <c r="H28" s="113">
        <f t="shared" si="8"/>
        <v>4.5642653185988049</v>
      </c>
      <c r="I28" s="113">
        <f t="shared" si="8"/>
        <v>4.5333298004054043</v>
      </c>
      <c r="J28" s="113">
        <f t="shared" si="8"/>
        <v>4.4508637023053339</v>
      </c>
      <c r="K28" s="113">
        <f t="shared" si="8"/>
        <v>4.4199241857208396</v>
      </c>
    </row>
    <row r="29" spans="1:13" ht="18" customHeight="1">
      <c r="A29" s="401" t="s">
        <v>84</v>
      </c>
      <c r="B29" s="402" t="s">
        <v>64</v>
      </c>
      <c r="C29" s="249" t="s">
        <v>372</v>
      </c>
      <c r="D29" s="256" t="s">
        <v>305</v>
      </c>
      <c r="E29" s="151">
        <f>'Ф1-Целевые показатели программ'!E26</f>
        <v>0</v>
      </c>
      <c r="F29" s="151">
        <f>'Ф1-Целевые показатели программ'!F26</f>
        <v>0</v>
      </c>
      <c r="G29" s="151">
        <f>'Ф1-Целевые показатели программ'!G26</f>
        <v>0</v>
      </c>
      <c r="H29" s="151">
        <f>'Ф1-Целевые показатели программ'!L26</f>
        <v>0</v>
      </c>
      <c r="I29" s="151">
        <f>'Ф1-Целевые показатели программ'!M26</f>
        <v>0</v>
      </c>
      <c r="J29" s="151">
        <f>'Ф1-Целевые показатели программ'!N26</f>
        <v>0</v>
      </c>
      <c r="K29" s="151">
        <f>'Ф1-Целевые показатели программ'!O26</f>
        <v>0</v>
      </c>
    </row>
    <row r="30" spans="1:13" s="139" customFormat="1" ht="18" customHeight="1">
      <c r="A30" s="401"/>
      <c r="B30" s="402"/>
      <c r="C30" s="185" t="s">
        <v>155</v>
      </c>
      <c r="D30" s="113" t="str">
        <f>IF(D9&gt;0,D29/D9*100,"")</f>
        <v/>
      </c>
      <c r="E30" s="113" t="str">
        <f t="shared" ref="E30" si="9">IF(E9&gt;0,E29/E9*100,"")</f>
        <v/>
      </c>
      <c r="F30" s="113" t="str">
        <f t="shared" ref="F30:K30" si="10">IF(F9&gt;0,F29/F9*100,"")</f>
        <v/>
      </c>
      <c r="G30" s="113" t="str">
        <f t="shared" si="10"/>
        <v/>
      </c>
      <c r="H30" s="113" t="str">
        <f t="shared" si="10"/>
        <v/>
      </c>
      <c r="I30" s="113" t="str">
        <f t="shared" si="10"/>
        <v/>
      </c>
      <c r="J30" s="113" t="str">
        <f t="shared" si="10"/>
        <v/>
      </c>
      <c r="K30" s="113" t="str">
        <f t="shared" si="10"/>
        <v/>
      </c>
    </row>
    <row r="31" spans="1:13" s="139" customFormat="1" ht="18" customHeight="1">
      <c r="A31" s="401"/>
      <c r="B31" s="402"/>
      <c r="C31" s="185" t="s">
        <v>156</v>
      </c>
      <c r="D31" s="113" t="str">
        <f>IF(D20&gt;0,D29/D20*100,"")</f>
        <v/>
      </c>
      <c r="E31" s="113" t="str">
        <f t="shared" ref="E31" si="11">IF(E20&gt;0,E29/E20*100,"")</f>
        <v/>
      </c>
      <c r="F31" s="113" t="str">
        <f t="shared" ref="F31:K31" si="12">IF(F20&gt;0,F29/F20*100,"")</f>
        <v/>
      </c>
      <c r="G31" s="113" t="str">
        <f t="shared" si="12"/>
        <v/>
      </c>
      <c r="H31" s="113" t="str">
        <f t="shared" si="12"/>
        <v/>
      </c>
      <c r="I31" s="113" t="str">
        <f t="shared" si="12"/>
        <v/>
      </c>
      <c r="J31" s="113" t="str">
        <f t="shared" si="12"/>
        <v/>
      </c>
      <c r="K31" s="113" t="str">
        <f t="shared" si="12"/>
        <v/>
      </c>
    </row>
    <row r="32" spans="1:13" ht="18" customHeight="1">
      <c r="A32" s="401" t="s">
        <v>85</v>
      </c>
      <c r="B32" s="402" t="s">
        <v>65</v>
      </c>
      <c r="C32" s="249" t="s">
        <v>372</v>
      </c>
      <c r="D32" s="41">
        <v>198.88</v>
      </c>
      <c r="E32" s="253">
        <f>'Ф1-Целевые показатели программ'!E30</f>
        <v>210.46100000000001</v>
      </c>
      <c r="F32" s="253">
        <f>'Ф1-Целевые показатели программ'!F30</f>
        <v>193.25200000000001</v>
      </c>
      <c r="G32" s="253">
        <f>'Ф1-Целевые показатели программ'!G30</f>
        <v>181.316</v>
      </c>
      <c r="H32" s="253">
        <f>'Ф1-Целевые показатели программ'!L30</f>
        <v>183.13800000000001</v>
      </c>
      <c r="I32" s="253">
        <f>'Ф1-Целевые показатели программ'!M30</f>
        <v>185.899</v>
      </c>
      <c r="J32" s="253">
        <f>'Ф1-Целевые показатели программ'!N30</f>
        <v>185.803</v>
      </c>
      <c r="K32" s="253">
        <f>'Ф1-Целевые показатели программ'!O30</f>
        <v>187.648</v>
      </c>
    </row>
    <row r="33" spans="1:15" s="139" customFormat="1" ht="18" customHeight="1">
      <c r="A33" s="401"/>
      <c r="B33" s="402"/>
      <c r="C33" s="185" t="s">
        <v>157</v>
      </c>
      <c r="D33" s="113">
        <f>IF(D10&gt;0,D32/D10*100,"")</f>
        <v>5.7145320020113495</v>
      </c>
      <c r="E33" s="113">
        <f t="shared" ref="E33" si="13">IF(E10&gt;0,E32/E10*100,"")</f>
        <v>5.9179432671975531</v>
      </c>
      <c r="F33" s="113">
        <f t="shared" ref="F33:K33" si="14">IF(F10&gt;0,F32/F10*100,"")</f>
        <v>5.5568511023729599</v>
      </c>
      <c r="G33" s="113">
        <f t="shared" si="14"/>
        <v>5.2474991925410466</v>
      </c>
      <c r="H33" s="113">
        <f t="shared" si="14"/>
        <v>5.2116320207260962</v>
      </c>
      <c r="I33" s="113">
        <f t="shared" si="14"/>
        <v>5.1763245503339705</v>
      </c>
      <c r="J33" s="113">
        <f t="shared" si="14"/>
        <v>5.0821709217536108</v>
      </c>
      <c r="K33" s="113">
        <f t="shared" si="14"/>
        <v>5.0468407757882456</v>
      </c>
    </row>
    <row r="34" spans="1:15" s="139" customFormat="1" ht="18" customHeight="1">
      <c r="A34" s="401"/>
      <c r="B34" s="402"/>
      <c r="C34" s="185" t="s">
        <v>158</v>
      </c>
      <c r="D34" s="113">
        <f>IF(D21&gt;0,D32/D21*100,"")</f>
        <v>6.6311392135791651</v>
      </c>
      <c r="E34" s="113">
        <f t="shared" ref="E34" si="15">IF(E21&gt;0,E32/E21*100,"")</f>
        <v>6.9471571619317674</v>
      </c>
      <c r="F34" s="113">
        <f t="shared" ref="F34:K34" si="16">IF(F21&gt;0,F32/F21*100,"")</f>
        <v>6.5892647752291218</v>
      </c>
      <c r="G34" s="113">
        <f t="shared" si="16"/>
        <v>6.2382806022075989</v>
      </c>
      <c r="H34" s="113">
        <f t="shared" si="16"/>
        <v>6.1956429073085975</v>
      </c>
      <c r="I34" s="113">
        <f t="shared" si="16"/>
        <v>6.1536663834221521</v>
      </c>
      <c r="J34" s="113">
        <f t="shared" si="16"/>
        <v>6.0417373909220622</v>
      </c>
      <c r="K34" s="113">
        <f t="shared" si="16"/>
        <v>5.9997346212197513</v>
      </c>
    </row>
    <row r="35" spans="1:15" ht="18" customHeight="1">
      <c r="A35" s="401" t="s">
        <v>86</v>
      </c>
      <c r="B35" s="402" t="s">
        <v>66</v>
      </c>
      <c r="C35" s="249" t="s">
        <v>372</v>
      </c>
      <c r="D35" s="41">
        <v>420.58499999999998</v>
      </c>
      <c r="E35" s="253">
        <f>'Ф1-Целевые показатели программ'!E34</f>
        <v>491.07299999999998</v>
      </c>
      <c r="F35" s="253">
        <f>'Ф1-Целевые показатели программ'!F34</f>
        <v>447.26600000000002</v>
      </c>
      <c r="G35" s="253">
        <f>'Ф1-Целевые показатели программ'!G34</f>
        <v>387.36599999999999</v>
      </c>
      <c r="H35" s="253">
        <f>'Ф1-Целевые показатели программ'!L34</f>
        <v>391.2589999999999</v>
      </c>
      <c r="I35" s="253">
        <f>'Ф1-Целевые показатели программ'!M34</f>
        <v>397.1579999999999</v>
      </c>
      <c r="J35" s="253">
        <f>'Ф1-Целевые показатели программ'!N34</f>
        <v>396.95100000000002</v>
      </c>
      <c r="K35" s="253">
        <f>'Ф1-Целевые показатели программ'!O34</f>
        <v>400.89499999999987</v>
      </c>
    </row>
    <row r="36" spans="1:15" s="139" customFormat="1" ht="18" customHeight="1">
      <c r="A36" s="401"/>
      <c r="B36" s="402"/>
      <c r="C36" s="185" t="s">
        <v>159</v>
      </c>
      <c r="D36" s="113">
        <f>IF(D11&gt;0,D35/D11*100,"")</f>
        <v>22.161503368605416</v>
      </c>
      <c r="E36" s="113">
        <f t="shared" ref="E36" si="17">IF(E11&gt;0,E35/E11*100,"")</f>
        <v>24.802142667384526</v>
      </c>
      <c r="F36" s="113">
        <f t="shared" ref="F36:K36" si="18">IF(F11&gt;0,F35/F11*100,"")</f>
        <v>23.154548819535581</v>
      </c>
      <c r="G36" s="113">
        <f t="shared" si="18"/>
        <v>20.305638742827007</v>
      </c>
      <c r="H36" s="113">
        <f t="shared" si="18"/>
        <v>20.166877393875694</v>
      </c>
      <c r="I36" s="113">
        <f t="shared" si="18"/>
        <v>20.030260390661638</v>
      </c>
      <c r="J36" s="113">
        <f t="shared" si="18"/>
        <v>19.665837660021403</v>
      </c>
      <c r="K36" s="113">
        <f t="shared" si="18"/>
        <v>19.529236737831457</v>
      </c>
    </row>
    <row r="37" spans="1:15" s="139" customFormat="1" ht="18" customHeight="1">
      <c r="A37" s="401"/>
      <c r="B37" s="402"/>
      <c r="C37" s="185" t="s">
        <v>160</v>
      </c>
      <c r="D37" s="113">
        <f>IF(D22&gt;0,D35/D22*100,"")</f>
        <v>25.336827361857861</v>
      </c>
      <c r="E37" s="113">
        <f t="shared" ref="E37" si="19">IF(E22&gt;0,E35/E22*100,"")</f>
        <v>28.576657563454315</v>
      </c>
      <c r="F37" s="113">
        <f t="shared" ref="F37:K37" si="20">IF(F22&gt;0,F35/F22*100,"")</f>
        <v>26.810972173933894</v>
      </c>
      <c r="G37" s="113">
        <f t="shared" si="20"/>
        <v>23.588019839058834</v>
      </c>
      <c r="H37" s="113">
        <f t="shared" si="20"/>
        <v>23.426816906198482</v>
      </c>
      <c r="I37" s="113">
        <f t="shared" si="20"/>
        <v>23.268122581839563</v>
      </c>
      <c r="J37" s="113">
        <f t="shared" si="20"/>
        <v>22.844799058931319</v>
      </c>
      <c r="K37" s="113">
        <f t="shared" si="20"/>
        <v>22.686104488667837</v>
      </c>
    </row>
    <row r="38" spans="1:15" s="139" customFormat="1" ht="30" customHeight="1">
      <c r="A38" s="185"/>
      <c r="B38" s="152" t="s">
        <v>336</v>
      </c>
      <c r="C38" s="249" t="s">
        <v>372</v>
      </c>
      <c r="D38" s="257">
        <v>4052.48</v>
      </c>
      <c r="E38" s="257">
        <v>4119.0389999999998</v>
      </c>
      <c r="F38" s="257">
        <v>4112.7653540000001</v>
      </c>
      <c r="G38" s="257">
        <v>4093.1779999999999</v>
      </c>
      <c r="H38" s="257">
        <v>4162.7650000000003</v>
      </c>
      <c r="I38" s="257">
        <v>4256.3130000000001</v>
      </c>
      <c r="J38" s="257">
        <v>4333.0860000000002</v>
      </c>
      <c r="K38" s="257">
        <v>4407.2560000000003</v>
      </c>
    </row>
    <row r="39" spans="1:15" s="139" customFormat="1" ht="18" customHeight="1">
      <c r="A39" s="185"/>
      <c r="B39" s="405" t="s">
        <v>335</v>
      </c>
      <c r="C39" s="249" t="s">
        <v>372</v>
      </c>
      <c r="D39" s="113">
        <v>726.06</v>
      </c>
      <c r="E39" s="113">
        <v>796.17200000000003</v>
      </c>
      <c r="F39" s="113">
        <v>732.15984299999957</v>
      </c>
      <c r="G39" s="113">
        <v>657.65599999999995</v>
      </c>
      <c r="H39" s="113">
        <v>663.65800000000002</v>
      </c>
      <c r="I39" s="113">
        <v>675.01099999999997</v>
      </c>
      <c r="J39" s="113">
        <v>673.16399999999999</v>
      </c>
      <c r="K39" s="113">
        <v>679.71600000000001</v>
      </c>
    </row>
    <row r="40" spans="1:15" s="139" customFormat="1" ht="18" customHeight="1">
      <c r="A40" s="185"/>
      <c r="B40" s="406"/>
      <c r="C40" s="185" t="s">
        <v>208</v>
      </c>
      <c r="D40" s="258">
        <f>D39/D38</f>
        <v>0.17916436355022108</v>
      </c>
      <c r="E40" s="258">
        <f t="shared" ref="E40:K40" si="21">E39/E38</f>
        <v>0.19329071659675962</v>
      </c>
      <c r="F40" s="258">
        <f t="shared" si="21"/>
        <v>0.17802130196606386</v>
      </c>
      <c r="G40" s="258">
        <f t="shared" si="21"/>
        <v>0.16067124371332006</v>
      </c>
      <c r="H40" s="258">
        <f t="shared" si="21"/>
        <v>0.15942720763723151</v>
      </c>
      <c r="I40" s="258">
        <f t="shared" si="21"/>
        <v>0.15859054538517256</v>
      </c>
      <c r="J40" s="258">
        <f t="shared" si="21"/>
        <v>0.15535440561299729</v>
      </c>
      <c r="K40" s="258">
        <f t="shared" si="21"/>
        <v>0.15422657544739857</v>
      </c>
    </row>
    <row r="41" spans="1:15" ht="18.75" customHeight="1">
      <c r="A41" s="403" t="s">
        <v>162</v>
      </c>
      <c r="B41" s="400" t="s">
        <v>163</v>
      </c>
      <c r="C41" s="249" t="s">
        <v>372</v>
      </c>
      <c r="D41" s="191">
        <f>D45+D53+D57</f>
        <v>726.05996000000005</v>
      </c>
      <c r="E41" s="191">
        <f>E45+E53+E57</f>
        <v>671.58588800000007</v>
      </c>
      <c r="F41" s="191">
        <f>F45+F53+F57</f>
        <v>723.91200000000003</v>
      </c>
      <c r="G41" s="191">
        <f>G45+G53+G57</f>
        <v>745.56500000000005</v>
      </c>
      <c r="H41" s="191">
        <f t="shared" ref="H41:K41" si="22">H45+H53+H57</f>
        <v>753.05799999999988</v>
      </c>
      <c r="I41" s="191">
        <f t="shared" si="22"/>
        <v>764.41099999999994</v>
      </c>
      <c r="J41" s="191">
        <f t="shared" si="22"/>
        <v>764.01400000000001</v>
      </c>
      <c r="K41" s="191">
        <f t="shared" si="22"/>
        <v>771.60299999999984</v>
      </c>
      <c r="L41" s="123"/>
      <c r="M41" s="123"/>
      <c r="N41" s="123"/>
      <c r="O41" s="123"/>
    </row>
    <row r="42" spans="1:15" s="139" customFormat="1">
      <c r="A42" s="401"/>
      <c r="B42" s="400"/>
      <c r="C42" s="185" t="s">
        <v>74</v>
      </c>
      <c r="D42" s="113">
        <f>IF(D7&gt;0,D41/D7*100,"")</f>
        <v>17.916435367972205</v>
      </c>
      <c r="E42" s="113">
        <f t="shared" ref="E42" si="23">IF(E7&gt;0,E41/E7*100,"")</f>
        <v>16.304431397711944</v>
      </c>
      <c r="F42" s="113">
        <f t="shared" ref="F42:K42" si="24">IF(F7&gt;0,F41/F7*100,"")</f>
        <v>17.233234476181678</v>
      </c>
      <c r="G42" s="113">
        <f t="shared" si="24"/>
        <v>17.831846973375441</v>
      </c>
      <c r="H42" s="113">
        <f t="shared" si="24"/>
        <v>17.709990087402534</v>
      </c>
      <c r="I42" s="113">
        <f t="shared" si="24"/>
        <v>17.5900019168316</v>
      </c>
      <c r="J42" s="113">
        <f t="shared" si="24"/>
        <v>17.270005714368384</v>
      </c>
      <c r="K42" s="113">
        <f t="shared" si="24"/>
        <v>17.149999455451844</v>
      </c>
    </row>
    <row r="43" spans="1:15" s="139" customFormat="1">
      <c r="A43" s="401"/>
      <c r="B43" s="400"/>
      <c r="C43" s="185" t="s">
        <v>152</v>
      </c>
      <c r="D43" s="113">
        <f>IF(D17&gt;0,D41/D17*100,"")</f>
        <v>17.916435367972205</v>
      </c>
      <c r="E43" s="113">
        <f t="shared" ref="E43" si="25">IF(E17&gt;0,E41/E17*100,"")</f>
        <v>16.304431397711944</v>
      </c>
      <c r="F43" s="113">
        <f t="shared" ref="F43:K43" si="26">IF(F17&gt;0,F41/F17*100,"")</f>
        <v>17.233234476181678</v>
      </c>
      <c r="G43" s="113">
        <f t="shared" si="26"/>
        <v>17.831846973375441</v>
      </c>
      <c r="H43" s="113">
        <f t="shared" si="26"/>
        <v>17.709990087402534</v>
      </c>
      <c r="I43" s="113">
        <f t="shared" si="26"/>
        <v>17.5900019168316</v>
      </c>
      <c r="J43" s="113">
        <f t="shared" si="26"/>
        <v>17.270005714368384</v>
      </c>
      <c r="K43" s="113">
        <f t="shared" si="26"/>
        <v>17.149999455451844</v>
      </c>
    </row>
    <row r="44" spans="1:15" s="139" customFormat="1">
      <c r="A44" s="401"/>
      <c r="B44" s="400"/>
      <c r="C44" s="259" t="s">
        <v>161</v>
      </c>
      <c r="D44" s="113">
        <f>IF(D23&gt;0,D41/D23*100,"")</f>
        <v>99.999994490813449</v>
      </c>
      <c r="E44" s="113">
        <f t="shared" ref="E44" si="27">IF(E23&gt;0,E41/E23*100,"")</f>
        <v>84.351753701770861</v>
      </c>
      <c r="F44" s="113">
        <f t="shared" ref="F44:K44" si="28">IF(F23&gt;0,F41/F23*100,"")</f>
        <v>88.274523241337022</v>
      </c>
      <c r="G44" s="113">
        <f t="shared" si="28"/>
        <v>100.00000000000003</v>
      </c>
      <c r="H44" s="113">
        <f t="shared" si="28"/>
        <v>99.999999999999986</v>
      </c>
      <c r="I44" s="113">
        <f t="shared" si="28"/>
        <v>100</v>
      </c>
      <c r="J44" s="113">
        <f t="shared" si="28"/>
        <v>100</v>
      </c>
      <c r="K44" s="113">
        <f t="shared" si="28"/>
        <v>99.999999999999986</v>
      </c>
    </row>
    <row r="45" spans="1:15">
      <c r="A45" s="401" t="s">
        <v>140</v>
      </c>
      <c r="B45" s="404" t="s">
        <v>63</v>
      </c>
      <c r="C45" s="249" t="s">
        <v>390</v>
      </c>
      <c r="D45" s="260">
        <v>106.59511000000001</v>
      </c>
      <c r="E45" s="256">
        <v>94.639075000000005</v>
      </c>
      <c r="F45" s="85">
        <f>F26</f>
        <v>179.55099999999999</v>
      </c>
      <c r="G45" s="85">
        <f t="shared" ref="G45:K45" si="29">G26</f>
        <v>176.88300000000001</v>
      </c>
      <c r="H45" s="85">
        <f t="shared" si="29"/>
        <v>178.661</v>
      </c>
      <c r="I45" s="85">
        <f t="shared" si="29"/>
        <v>181.35400000000001</v>
      </c>
      <c r="J45" s="85">
        <f t="shared" si="29"/>
        <v>181.26</v>
      </c>
      <c r="K45" s="85">
        <f t="shared" si="29"/>
        <v>183.06</v>
      </c>
    </row>
    <row r="46" spans="1:15" s="139" customFormat="1">
      <c r="A46" s="401"/>
      <c r="B46" s="404"/>
      <c r="C46" s="185" t="s">
        <v>153</v>
      </c>
      <c r="D46" s="113">
        <f>IF(D8&gt;0,D45/D8*100,"")</f>
        <v>2.8976857954417259</v>
      </c>
      <c r="E46" s="113">
        <f t="shared" ref="E46" si="30">IF(E8&gt;0,E45/E8*100,"")</f>
        <v>2.5049370027595868</v>
      </c>
      <c r="F46" s="113">
        <f t="shared" ref="F46:K46" si="31">IF(F8&gt;0,F45/F8*100,"")</f>
        <v>4.6509802621319842</v>
      </c>
      <c r="G46" s="113">
        <f t="shared" si="31"/>
        <v>4.5956623586093936</v>
      </c>
      <c r="H46" s="113">
        <f t="shared" si="31"/>
        <v>4.5642653185988049</v>
      </c>
      <c r="I46" s="113">
        <f t="shared" si="31"/>
        <v>4.5333298004054043</v>
      </c>
      <c r="J46" s="113">
        <f t="shared" si="31"/>
        <v>4.4508637023053339</v>
      </c>
      <c r="K46" s="113">
        <f t="shared" si="31"/>
        <v>4.4199241857208396</v>
      </c>
    </row>
    <row r="47" spans="1:15" s="139" customFormat="1">
      <c r="A47" s="401"/>
      <c r="B47" s="404"/>
      <c r="C47" s="185" t="s">
        <v>154</v>
      </c>
      <c r="D47" s="113">
        <f>IF(D19&gt;0,D45/D19*100,"")</f>
        <v>2.8976857954417259</v>
      </c>
      <c r="E47" s="113">
        <f t="shared" ref="E47" si="32">IF(E19&gt;0,E45/E19*100,"")</f>
        <v>2.5049370027595868</v>
      </c>
      <c r="F47" s="113">
        <f t="shared" ref="F47:K47" si="33">IF(F19&gt;0,F45/F19*100,"")</f>
        <v>4.6509802621319842</v>
      </c>
      <c r="G47" s="113">
        <f t="shared" si="33"/>
        <v>4.5956623586093936</v>
      </c>
      <c r="H47" s="113">
        <f t="shared" si="33"/>
        <v>4.5642653185988049</v>
      </c>
      <c r="I47" s="113">
        <f t="shared" si="33"/>
        <v>4.5333298004054043</v>
      </c>
      <c r="J47" s="113">
        <f t="shared" si="33"/>
        <v>4.4508637023053339</v>
      </c>
      <c r="K47" s="113">
        <f t="shared" si="33"/>
        <v>4.4199241857208396</v>
      </c>
    </row>
    <row r="48" spans="1:15" s="139" customFormat="1">
      <c r="A48" s="401"/>
      <c r="B48" s="404"/>
      <c r="C48" s="259" t="s">
        <v>164</v>
      </c>
      <c r="D48" s="113">
        <f>IF(D26&gt;0,D45/D26*100,"")</f>
        <v>100.0001031943337</v>
      </c>
      <c r="E48" s="113">
        <f t="shared" ref="E48" si="34">IF(E26&gt;0,E45/E26*100,"")</f>
        <v>100.00007924851278</v>
      </c>
      <c r="F48" s="113">
        <f t="shared" ref="F48:K48" si="35">IF(F26&gt;0,F45/F26*100,"")</f>
        <v>100</v>
      </c>
      <c r="G48" s="113">
        <f t="shared" si="35"/>
        <v>100</v>
      </c>
      <c r="H48" s="113">
        <f t="shared" si="35"/>
        <v>100</v>
      </c>
      <c r="I48" s="113">
        <f t="shared" si="35"/>
        <v>100</v>
      </c>
      <c r="J48" s="113">
        <f t="shared" si="35"/>
        <v>100</v>
      </c>
      <c r="K48" s="113">
        <f t="shared" si="35"/>
        <v>100</v>
      </c>
    </row>
    <row r="49" spans="1:18">
      <c r="A49" s="401" t="s">
        <v>141</v>
      </c>
      <c r="B49" s="402" t="s">
        <v>64</v>
      </c>
      <c r="C49" s="249" t="s">
        <v>372</v>
      </c>
      <c r="D49" s="256"/>
      <c r="E49" s="256"/>
      <c r="F49" s="85"/>
      <c r="G49" s="191"/>
      <c r="H49" s="191"/>
      <c r="I49" s="191"/>
      <c r="J49" s="191"/>
      <c r="K49" s="191"/>
    </row>
    <row r="50" spans="1:18" s="139" customFormat="1">
      <c r="A50" s="401"/>
      <c r="B50" s="402"/>
      <c r="C50" s="185" t="s">
        <v>155</v>
      </c>
      <c r="D50" s="113" t="str">
        <f>IF(D9&gt;0,D49/D9*100,"")</f>
        <v/>
      </c>
      <c r="E50" s="113" t="str">
        <f t="shared" ref="E50" si="36">IF(E9&gt;0,E49/E9*100,"")</f>
        <v/>
      </c>
      <c r="F50" s="113" t="str">
        <f t="shared" ref="F50:K50" si="37">IF(F9&gt;0,F49/F9*100,"")</f>
        <v/>
      </c>
      <c r="G50" s="113" t="str">
        <f t="shared" si="37"/>
        <v/>
      </c>
      <c r="H50" s="113" t="str">
        <f t="shared" si="37"/>
        <v/>
      </c>
      <c r="I50" s="113" t="str">
        <f t="shared" si="37"/>
        <v/>
      </c>
      <c r="J50" s="113" t="str">
        <f t="shared" si="37"/>
        <v/>
      </c>
      <c r="K50" s="113" t="str">
        <f t="shared" si="37"/>
        <v/>
      </c>
    </row>
    <row r="51" spans="1:18" s="139" customFormat="1">
      <c r="A51" s="401"/>
      <c r="B51" s="402"/>
      <c r="C51" s="185" t="s">
        <v>156</v>
      </c>
      <c r="D51" s="113" t="str">
        <f>IF(D20&gt;0,D49/D20*100,"")</f>
        <v/>
      </c>
      <c r="E51" s="113" t="str">
        <f t="shared" ref="E51" si="38">IF(E20&gt;0,E49/E20*100,"")</f>
        <v/>
      </c>
      <c r="F51" s="113" t="str">
        <f t="shared" ref="F51:K51" si="39">IF(F20&gt;0,F49/F20*100,"")</f>
        <v/>
      </c>
      <c r="G51" s="113" t="str">
        <f t="shared" si="39"/>
        <v/>
      </c>
      <c r="H51" s="113" t="str">
        <f t="shared" si="39"/>
        <v/>
      </c>
      <c r="I51" s="113" t="str">
        <f t="shared" si="39"/>
        <v/>
      </c>
      <c r="J51" s="113" t="str">
        <f t="shared" si="39"/>
        <v/>
      </c>
      <c r="K51" s="113" t="str">
        <f t="shared" si="39"/>
        <v/>
      </c>
    </row>
    <row r="52" spans="1:18" s="139" customFormat="1">
      <c r="A52" s="401"/>
      <c r="B52" s="402"/>
      <c r="C52" s="259" t="s">
        <v>165</v>
      </c>
      <c r="D52" s="113"/>
      <c r="E52" s="113" t="str">
        <f t="shared" ref="E52" si="40">IF(E29&gt;0,E49/E29*100,"")</f>
        <v/>
      </c>
      <c r="F52" s="113" t="str">
        <f t="shared" ref="F52:K52" si="41">IF(F29&gt;0,F49/F29*100,"")</f>
        <v/>
      </c>
      <c r="G52" s="113" t="str">
        <f t="shared" si="41"/>
        <v/>
      </c>
      <c r="H52" s="113" t="str">
        <f t="shared" si="41"/>
        <v/>
      </c>
      <c r="I52" s="113" t="str">
        <f t="shared" si="41"/>
        <v/>
      </c>
      <c r="J52" s="113" t="str">
        <f t="shared" si="41"/>
        <v/>
      </c>
      <c r="K52" s="113" t="str">
        <f t="shared" si="41"/>
        <v/>
      </c>
    </row>
    <row r="53" spans="1:18">
      <c r="A53" s="401" t="s">
        <v>142</v>
      </c>
      <c r="B53" s="402" t="s">
        <v>65</v>
      </c>
      <c r="C53" s="249" t="s">
        <v>372</v>
      </c>
      <c r="D53" s="256">
        <v>198.87967</v>
      </c>
      <c r="E53" s="256">
        <v>192.04473200000001</v>
      </c>
      <c r="F53" s="85">
        <v>181.01</v>
      </c>
      <c r="G53" s="191">
        <f>G32</f>
        <v>181.316</v>
      </c>
      <c r="H53" s="191">
        <f t="shared" ref="H53:K53" si="42">H32</f>
        <v>183.13800000000001</v>
      </c>
      <c r="I53" s="191">
        <f t="shared" si="42"/>
        <v>185.899</v>
      </c>
      <c r="J53" s="191">
        <f t="shared" si="42"/>
        <v>185.803</v>
      </c>
      <c r="K53" s="191">
        <f t="shared" si="42"/>
        <v>187.648</v>
      </c>
      <c r="L53" s="261"/>
      <c r="M53" s="261"/>
      <c r="N53" s="261"/>
      <c r="O53" s="261"/>
      <c r="P53" s="261"/>
      <c r="Q53" s="261"/>
      <c r="R53" s="262"/>
    </row>
    <row r="54" spans="1:18" s="139" customFormat="1">
      <c r="A54" s="401"/>
      <c r="B54" s="402"/>
      <c r="C54" s="185" t="s">
        <v>157</v>
      </c>
      <c r="D54" s="113">
        <f>IF(D10&gt;0,D53/D10*100,"")</f>
        <v>5.7145225199339134</v>
      </c>
      <c r="E54" s="113">
        <f t="shared" ref="E54" si="43">IF(E10&gt;0,E53/E10*100,"")</f>
        <v>5.400097066630674</v>
      </c>
      <c r="F54" s="113">
        <f t="shared" ref="F54:K54" si="44">IF(F10&gt;0,F53/F10*100,"")</f>
        <v>5.2048393705655274</v>
      </c>
      <c r="G54" s="113">
        <f t="shared" si="44"/>
        <v>5.2474991925410466</v>
      </c>
      <c r="H54" s="113">
        <f t="shared" si="44"/>
        <v>5.2116320207260962</v>
      </c>
      <c r="I54" s="113">
        <f t="shared" si="44"/>
        <v>5.1763245503339705</v>
      </c>
      <c r="J54" s="113">
        <f t="shared" si="44"/>
        <v>5.0821709217536108</v>
      </c>
      <c r="K54" s="263">
        <f t="shared" si="44"/>
        <v>5.0468407757882456</v>
      </c>
      <c r="L54" s="264"/>
      <c r="M54" s="262"/>
      <c r="N54" s="262"/>
      <c r="O54" s="265"/>
      <c r="P54" s="265"/>
      <c r="Q54" s="266"/>
      <c r="R54" s="265"/>
    </row>
    <row r="55" spans="1:18" s="139" customFormat="1">
      <c r="A55" s="401"/>
      <c r="B55" s="402"/>
      <c r="C55" s="185" t="s">
        <v>158</v>
      </c>
      <c r="D55" s="113">
        <f>IF(D21&gt;0,D53/D21*100,"")</f>
        <v>6.6311282105826823</v>
      </c>
      <c r="E55" s="113">
        <f t="shared" ref="E55" si="45">IF(E21&gt;0,E53/E21*100,"")</f>
        <v>6.3392501951671179</v>
      </c>
      <c r="F55" s="113">
        <f t="shared" ref="F55:K55" si="46">IF(F21&gt;0,F53/F21*100,"")</f>
        <v>6.17185238426626</v>
      </c>
      <c r="G55" s="113">
        <f t="shared" si="46"/>
        <v>6.2382806022075989</v>
      </c>
      <c r="H55" s="113">
        <f t="shared" si="46"/>
        <v>6.1956429073085975</v>
      </c>
      <c r="I55" s="113">
        <f t="shared" si="46"/>
        <v>6.1536663834221521</v>
      </c>
      <c r="J55" s="113">
        <f t="shared" si="46"/>
        <v>6.0417373909220622</v>
      </c>
      <c r="K55" s="263">
        <f t="shared" si="46"/>
        <v>5.9997346212197513</v>
      </c>
      <c r="L55" s="264"/>
      <c r="M55" s="264"/>
      <c r="N55" s="264"/>
      <c r="O55" s="267"/>
      <c r="P55" s="267"/>
      <c r="Q55" s="267"/>
      <c r="R55" s="265"/>
    </row>
    <row r="56" spans="1:18" s="139" customFormat="1">
      <c r="A56" s="401"/>
      <c r="B56" s="402"/>
      <c r="C56" s="259" t="s">
        <v>166</v>
      </c>
      <c r="D56" s="113">
        <f>IF(D32&gt;0,D53/D32*100,"")</f>
        <v>99.999834070796467</v>
      </c>
      <c r="E56" s="113">
        <f t="shared" ref="E56" si="47">IF(E32&gt;0,E53/E32*100,"")</f>
        <v>91.249557875330822</v>
      </c>
      <c r="F56" s="113">
        <f t="shared" ref="F56:K56" si="48">IF(F32&gt;0,F53/F32*100,"")</f>
        <v>93.665266077453268</v>
      </c>
      <c r="G56" s="113">
        <f t="shared" si="48"/>
        <v>100</v>
      </c>
      <c r="H56" s="113">
        <f t="shared" si="48"/>
        <v>100</v>
      </c>
      <c r="I56" s="113">
        <f t="shared" si="48"/>
        <v>100</v>
      </c>
      <c r="J56" s="113">
        <f t="shared" si="48"/>
        <v>100</v>
      </c>
      <c r="K56" s="263">
        <f t="shared" si="48"/>
        <v>100</v>
      </c>
      <c r="L56" s="265"/>
      <c r="M56" s="265"/>
      <c r="N56" s="265"/>
      <c r="O56" s="265"/>
      <c r="P56" s="265"/>
      <c r="Q56" s="265"/>
      <c r="R56" s="265"/>
    </row>
    <row r="57" spans="1:18">
      <c r="A57" s="401" t="s">
        <v>143</v>
      </c>
      <c r="B57" s="402" t="s">
        <v>66</v>
      </c>
      <c r="C57" s="249" t="s">
        <v>372</v>
      </c>
      <c r="D57" s="41">
        <v>420.58517999999998</v>
      </c>
      <c r="E57" s="256">
        <v>384.90208100000001</v>
      </c>
      <c r="F57" s="85">
        <v>363.351</v>
      </c>
      <c r="G57" s="191">
        <f>G35</f>
        <v>387.36599999999999</v>
      </c>
      <c r="H57" s="191">
        <f t="shared" ref="H57:K57" si="49">H35</f>
        <v>391.2589999999999</v>
      </c>
      <c r="I57" s="191">
        <f t="shared" si="49"/>
        <v>397.1579999999999</v>
      </c>
      <c r="J57" s="191">
        <f t="shared" si="49"/>
        <v>396.95100000000002</v>
      </c>
      <c r="K57" s="191">
        <f t="shared" si="49"/>
        <v>400.89499999999987</v>
      </c>
    </row>
    <row r="58" spans="1:18" s="139" customFormat="1">
      <c r="A58" s="401"/>
      <c r="B58" s="402"/>
      <c r="C58" s="185" t="s">
        <v>159</v>
      </c>
      <c r="D58" s="113">
        <f>IF(D11&gt;0,D57/D11*100,"")</f>
        <v>22.161512853181918</v>
      </c>
      <c r="E58" s="113">
        <f t="shared" ref="E58" si="50">IF(E11&gt;0,E57/E11*100,"")</f>
        <v>19.43987212885904</v>
      </c>
      <c r="F58" s="113">
        <f t="shared" ref="F58:K58" si="51">IF(F11&gt;0,F57/F11*100,"")</f>
        <v>18.810346568098339</v>
      </c>
      <c r="G58" s="113">
        <f t="shared" si="51"/>
        <v>20.305638742827007</v>
      </c>
      <c r="H58" s="113">
        <f t="shared" si="51"/>
        <v>20.166877393875694</v>
      </c>
      <c r="I58" s="113">
        <f t="shared" si="51"/>
        <v>20.030260390661638</v>
      </c>
      <c r="J58" s="113">
        <f t="shared" si="51"/>
        <v>19.665837660021403</v>
      </c>
      <c r="K58" s="113">
        <f t="shared" si="51"/>
        <v>19.529236737831457</v>
      </c>
    </row>
    <row r="59" spans="1:18" s="139" customFormat="1">
      <c r="A59" s="401"/>
      <c r="B59" s="402"/>
      <c r="C59" s="185" t="s">
        <v>160</v>
      </c>
      <c r="D59" s="113">
        <f>IF(D22&gt;0,D57/D22*100,"")</f>
        <v>25.336838205394656</v>
      </c>
      <c r="E59" s="113">
        <f t="shared" ref="E59" si="52">IF(E22&gt;0,E57/E22*100,"")</f>
        <v>22.398329706984413</v>
      </c>
      <c r="F59" s="113">
        <f t="shared" ref="F59:K59" si="53">IF(F22&gt;0,F57/F22*100,"")</f>
        <v>21.780760331371162</v>
      </c>
      <c r="G59" s="113">
        <f t="shared" si="53"/>
        <v>23.588019839058834</v>
      </c>
      <c r="H59" s="113">
        <f t="shared" si="53"/>
        <v>23.426816906198482</v>
      </c>
      <c r="I59" s="113">
        <f t="shared" si="53"/>
        <v>23.268122581839563</v>
      </c>
      <c r="J59" s="113">
        <f t="shared" si="53"/>
        <v>22.844799058931319</v>
      </c>
      <c r="K59" s="113">
        <f t="shared" si="53"/>
        <v>22.686104488667837</v>
      </c>
    </row>
    <row r="60" spans="1:18" s="139" customFormat="1">
      <c r="A60" s="401"/>
      <c r="B60" s="402"/>
      <c r="C60" s="259" t="s">
        <v>289</v>
      </c>
      <c r="D60" s="113">
        <f>IF(D35&gt;0,D57/D35*100,"")</f>
        <v>100.000042797532</v>
      </c>
      <c r="E60" s="113">
        <f t="shared" ref="E60" si="54">IF(E35&gt;0,E57/E35*100,"")</f>
        <v>78.379809315519282</v>
      </c>
      <c r="F60" s="113">
        <f t="shared" ref="F60:K60" si="55">IF(F35&gt;0,F57/F35*100,"")</f>
        <v>81.23823407100025</v>
      </c>
      <c r="G60" s="113">
        <f t="shared" si="55"/>
        <v>100</v>
      </c>
      <c r="H60" s="113">
        <f t="shared" si="55"/>
        <v>100</v>
      </c>
      <c r="I60" s="113">
        <f t="shared" si="55"/>
        <v>100</v>
      </c>
      <c r="J60" s="113">
        <f t="shared" si="55"/>
        <v>100</v>
      </c>
      <c r="K60" s="113">
        <f t="shared" si="55"/>
        <v>100</v>
      </c>
    </row>
    <row r="61" spans="1:18" ht="18" customHeight="1">
      <c r="A61" s="401">
        <v>7</v>
      </c>
      <c r="B61" s="400" t="s">
        <v>167</v>
      </c>
      <c r="C61" s="249" t="s">
        <v>372</v>
      </c>
      <c r="D61" s="268">
        <f>D23-D41</f>
        <v>3.9999999899009708E-5</v>
      </c>
      <c r="E61" s="268">
        <f t="shared" ref="E61" si="56">E23-E41</f>
        <v>124.58711199999993</v>
      </c>
      <c r="F61" s="268">
        <f t="shared" ref="F61:K61" si="57">F23-F41</f>
        <v>96.156999999999925</v>
      </c>
      <c r="G61" s="268">
        <f>G23-G41</f>
        <v>0</v>
      </c>
      <c r="H61" s="268">
        <f t="shared" si="57"/>
        <v>0</v>
      </c>
      <c r="I61" s="268">
        <f t="shared" si="57"/>
        <v>0</v>
      </c>
      <c r="J61" s="268">
        <f t="shared" si="57"/>
        <v>0</v>
      </c>
      <c r="K61" s="268">
        <f t="shared" si="57"/>
        <v>0</v>
      </c>
    </row>
    <row r="62" spans="1:18" s="139" customFormat="1">
      <c r="A62" s="401"/>
      <c r="B62" s="400"/>
      <c r="C62" s="185" t="s">
        <v>74</v>
      </c>
      <c r="D62" s="113">
        <f>IF(D7&gt;0,D61/D7*100,"")</f>
        <v>9.8704990275114755E-7</v>
      </c>
      <c r="E62" s="113">
        <f t="shared" ref="E62" si="58">IF(E7&gt;0,E61/E7*100,"")</f>
        <v>3.0246645394714626</v>
      </c>
      <c r="F62" s="113">
        <f t="shared" ref="F62:K62" si="59">IF(F7&gt;0,F61/F7*100,"")</f>
        <v>2.2890850373059166</v>
      </c>
      <c r="G62" s="113">
        <f t="shared" si="59"/>
        <v>0</v>
      </c>
      <c r="H62" s="113">
        <f t="shared" si="59"/>
        <v>0</v>
      </c>
      <c r="I62" s="113">
        <f t="shared" si="59"/>
        <v>0</v>
      </c>
      <c r="J62" s="113">
        <f t="shared" si="59"/>
        <v>0</v>
      </c>
      <c r="K62" s="113">
        <f t="shared" si="59"/>
        <v>0</v>
      </c>
    </row>
    <row r="63" spans="1:18" s="139" customFormat="1">
      <c r="A63" s="401"/>
      <c r="B63" s="400"/>
      <c r="C63" s="185" t="s">
        <v>152</v>
      </c>
      <c r="D63" s="113">
        <f>IF(D17&gt;0,D61/D17*100,"")</f>
        <v>9.8704990275114755E-7</v>
      </c>
      <c r="E63" s="113">
        <f t="shared" ref="E63" si="60">IF(E17&gt;0,E61/E17*100,"")</f>
        <v>3.0246645394714626</v>
      </c>
      <c r="F63" s="113">
        <f t="shared" ref="F63:K63" si="61">IF(F17&gt;0,F61/F17*100,"")</f>
        <v>2.2890850373059166</v>
      </c>
      <c r="G63" s="113">
        <f t="shared" si="61"/>
        <v>0</v>
      </c>
      <c r="H63" s="113">
        <f t="shared" si="61"/>
        <v>0</v>
      </c>
      <c r="I63" s="113">
        <f t="shared" si="61"/>
        <v>0</v>
      </c>
      <c r="J63" s="113">
        <f t="shared" si="61"/>
        <v>0</v>
      </c>
      <c r="K63" s="113">
        <f t="shared" si="61"/>
        <v>0</v>
      </c>
    </row>
    <row r="64" spans="1:18" s="139" customFormat="1">
      <c r="A64" s="401"/>
      <c r="B64" s="400"/>
      <c r="C64" s="259" t="s">
        <v>161</v>
      </c>
      <c r="D64" s="113">
        <f>IF(D23&gt;0,D61/D23*100,"")</f>
        <v>5.5091865546937867E-6</v>
      </c>
      <c r="E64" s="113">
        <f t="shared" ref="E64" si="62">IF(E23&gt;0,E61/E23*100,"")</f>
        <v>15.648246298229147</v>
      </c>
      <c r="F64" s="113">
        <f t="shared" ref="F64:K64" si="63">IF(F23&gt;0,F61/F23*100,"")</f>
        <v>11.725476758662982</v>
      </c>
      <c r="G64" s="113">
        <f t="shared" si="63"/>
        <v>0</v>
      </c>
      <c r="H64" s="113">
        <f t="shared" si="63"/>
        <v>0</v>
      </c>
      <c r="I64" s="113">
        <f t="shared" si="63"/>
        <v>0</v>
      </c>
      <c r="J64" s="113">
        <f t="shared" si="63"/>
        <v>0</v>
      </c>
      <c r="K64" s="113">
        <f t="shared" si="63"/>
        <v>0</v>
      </c>
    </row>
    <row r="65" spans="1:11">
      <c r="A65" s="402" t="s">
        <v>168</v>
      </c>
      <c r="B65" s="404" t="s">
        <v>63</v>
      </c>
      <c r="C65" s="249" t="s">
        <v>390</v>
      </c>
      <c r="D65" s="190">
        <f>D26-D45</f>
        <v>-1.1000000000649379E-4</v>
      </c>
      <c r="E65" s="190">
        <f t="shared" ref="E65" si="64">E26-E45</f>
        <v>-7.5000000009595169E-5</v>
      </c>
      <c r="F65" s="190">
        <f t="shared" ref="F65:K65" si="65">F26-F45</f>
        <v>0</v>
      </c>
      <c r="G65" s="190">
        <f t="shared" si="65"/>
        <v>0</v>
      </c>
      <c r="H65" s="190">
        <f t="shared" si="65"/>
        <v>0</v>
      </c>
      <c r="I65" s="190">
        <f t="shared" si="65"/>
        <v>0</v>
      </c>
      <c r="J65" s="190">
        <f t="shared" si="65"/>
        <v>0</v>
      </c>
      <c r="K65" s="190">
        <f t="shared" si="65"/>
        <v>0</v>
      </c>
    </row>
    <row r="66" spans="1:11" s="139" customFormat="1">
      <c r="A66" s="402"/>
      <c r="B66" s="404"/>
      <c r="C66" s="185" t="s">
        <v>153</v>
      </c>
      <c r="D66" s="113">
        <f>IF(D8&gt;0,D65/D8*100,"")</f>
        <v>-2.9902444635350235E-6</v>
      </c>
      <c r="E66" s="113">
        <f t="shared" ref="E66" si="66">IF(E8&gt;0,E65/E8*100,"")</f>
        <v>-1.9851237475747124E-6</v>
      </c>
      <c r="F66" s="113">
        <f t="shared" ref="F66:K66" si="67">IF(F8&gt;0,F65/F8*100,"")</f>
        <v>0</v>
      </c>
      <c r="G66" s="113">
        <f t="shared" si="67"/>
        <v>0</v>
      </c>
      <c r="H66" s="113">
        <f t="shared" si="67"/>
        <v>0</v>
      </c>
      <c r="I66" s="113">
        <f t="shared" si="67"/>
        <v>0</v>
      </c>
      <c r="J66" s="113">
        <f t="shared" si="67"/>
        <v>0</v>
      </c>
      <c r="K66" s="113">
        <f t="shared" si="67"/>
        <v>0</v>
      </c>
    </row>
    <row r="67" spans="1:11" s="139" customFormat="1">
      <c r="A67" s="402"/>
      <c r="B67" s="404"/>
      <c r="C67" s="185" t="s">
        <v>154</v>
      </c>
      <c r="D67" s="113">
        <f>IF(D19&gt;0,D65/D19*100,"")</f>
        <v>-2.9902444635350235E-6</v>
      </c>
      <c r="E67" s="113">
        <f t="shared" ref="E67" si="68">IF(E19&gt;0,E65/E19*100,"")</f>
        <v>-1.9851237475747124E-6</v>
      </c>
      <c r="F67" s="113">
        <f t="shared" ref="F67:K67" si="69">IF(F19&gt;0,F65/F19*100,"")</f>
        <v>0</v>
      </c>
      <c r="G67" s="113">
        <f t="shared" si="69"/>
        <v>0</v>
      </c>
      <c r="H67" s="113">
        <f t="shared" si="69"/>
        <v>0</v>
      </c>
      <c r="I67" s="113">
        <f t="shared" si="69"/>
        <v>0</v>
      </c>
      <c r="J67" s="113">
        <f t="shared" si="69"/>
        <v>0</v>
      </c>
      <c r="K67" s="113">
        <f t="shared" si="69"/>
        <v>0</v>
      </c>
    </row>
    <row r="68" spans="1:11" s="139" customFormat="1">
      <c r="A68" s="402"/>
      <c r="B68" s="404"/>
      <c r="C68" s="259" t="s">
        <v>164</v>
      </c>
      <c r="D68" s="113">
        <f>IF(D26&gt;0,D65/D26*100,"")</f>
        <v>-1.0319433369904198E-4</v>
      </c>
      <c r="E68" s="113">
        <f t="shared" ref="E68" si="70">IF(E26&gt;0,E65/E26*100,"")</f>
        <v>-7.9248512779715727E-5</v>
      </c>
      <c r="F68" s="113">
        <f t="shared" ref="F68:K68" si="71">IF(F26&gt;0,F65/F26*100,"")</f>
        <v>0</v>
      </c>
      <c r="G68" s="113">
        <f t="shared" si="71"/>
        <v>0</v>
      </c>
      <c r="H68" s="113">
        <f t="shared" si="71"/>
        <v>0</v>
      </c>
      <c r="I68" s="113">
        <f t="shared" si="71"/>
        <v>0</v>
      </c>
      <c r="J68" s="113">
        <f t="shared" si="71"/>
        <v>0</v>
      </c>
      <c r="K68" s="113">
        <f t="shared" si="71"/>
        <v>0</v>
      </c>
    </row>
    <row r="69" spans="1:11">
      <c r="A69" s="402" t="s">
        <v>169</v>
      </c>
      <c r="B69" s="402" t="s">
        <v>64</v>
      </c>
      <c r="C69" s="249" t="s">
        <v>372</v>
      </c>
      <c r="D69" s="190"/>
      <c r="E69" s="190">
        <f t="shared" ref="E69" si="72">E29-E49</f>
        <v>0</v>
      </c>
      <c r="F69" s="190">
        <f t="shared" ref="F69:K69" si="73">F29-F49</f>
        <v>0</v>
      </c>
      <c r="G69" s="190">
        <f t="shared" si="73"/>
        <v>0</v>
      </c>
      <c r="H69" s="190">
        <f t="shared" si="73"/>
        <v>0</v>
      </c>
      <c r="I69" s="190">
        <f t="shared" si="73"/>
        <v>0</v>
      </c>
      <c r="J69" s="190">
        <f t="shared" si="73"/>
        <v>0</v>
      </c>
      <c r="K69" s="190">
        <f t="shared" si="73"/>
        <v>0</v>
      </c>
    </row>
    <row r="70" spans="1:11" s="139" customFormat="1">
      <c r="A70" s="402"/>
      <c r="B70" s="402"/>
      <c r="C70" s="185" t="s">
        <v>155</v>
      </c>
      <c r="D70" s="113" t="str">
        <f>IF(D9&gt;0,D69/D9*100,"")</f>
        <v/>
      </c>
      <c r="E70" s="113" t="str">
        <f t="shared" ref="E70" si="74">IF(E9&gt;0,E69/E9*100,"")</f>
        <v/>
      </c>
      <c r="F70" s="113" t="str">
        <f t="shared" ref="F70:K70" si="75">IF(F9&gt;0,F69/F9*100,"")</f>
        <v/>
      </c>
      <c r="G70" s="113" t="str">
        <f t="shared" si="75"/>
        <v/>
      </c>
      <c r="H70" s="113" t="str">
        <f t="shared" si="75"/>
        <v/>
      </c>
      <c r="I70" s="113" t="str">
        <f t="shared" si="75"/>
        <v/>
      </c>
      <c r="J70" s="113" t="str">
        <f t="shared" si="75"/>
        <v/>
      </c>
      <c r="K70" s="113" t="str">
        <f t="shared" si="75"/>
        <v/>
      </c>
    </row>
    <row r="71" spans="1:11" s="139" customFormat="1">
      <c r="A71" s="402"/>
      <c r="B71" s="402"/>
      <c r="C71" s="185" t="s">
        <v>156</v>
      </c>
      <c r="D71" s="113" t="str">
        <f>IF(D20&gt;0,D69/D20*100,"")</f>
        <v/>
      </c>
      <c r="E71" s="113" t="str">
        <f t="shared" ref="E71" si="76">IF(E20&gt;0,E69/E20*100,"")</f>
        <v/>
      </c>
      <c r="F71" s="113" t="str">
        <f t="shared" ref="F71:K71" si="77">IF(F20&gt;0,F69/F20*100,"")</f>
        <v/>
      </c>
      <c r="G71" s="113" t="str">
        <f t="shared" si="77"/>
        <v/>
      </c>
      <c r="H71" s="113" t="str">
        <f t="shared" si="77"/>
        <v/>
      </c>
      <c r="I71" s="113" t="str">
        <f t="shared" si="77"/>
        <v/>
      </c>
      <c r="J71" s="113" t="str">
        <f t="shared" si="77"/>
        <v/>
      </c>
      <c r="K71" s="113" t="str">
        <f t="shared" si="77"/>
        <v/>
      </c>
    </row>
    <row r="72" spans="1:11" s="139" customFormat="1">
      <c r="A72" s="402"/>
      <c r="B72" s="402"/>
      <c r="C72" s="259" t="s">
        <v>165</v>
      </c>
      <c r="D72" s="113"/>
      <c r="E72" s="113" t="str">
        <f t="shared" ref="E72" si="78">IF(E29&gt;0,E69/E29*100,"")</f>
        <v/>
      </c>
      <c r="F72" s="113" t="str">
        <f t="shared" ref="F72:K72" si="79">IF(F29&gt;0,F69/F29*100,"")</f>
        <v/>
      </c>
      <c r="G72" s="113" t="str">
        <f t="shared" si="79"/>
        <v/>
      </c>
      <c r="H72" s="113" t="str">
        <f t="shared" si="79"/>
        <v/>
      </c>
      <c r="I72" s="113" t="str">
        <f t="shared" si="79"/>
        <v/>
      </c>
      <c r="J72" s="113" t="str">
        <f t="shared" si="79"/>
        <v/>
      </c>
      <c r="K72" s="113" t="str">
        <f t="shared" si="79"/>
        <v/>
      </c>
    </row>
    <row r="73" spans="1:11">
      <c r="A73" s="402" t="s">
        <v>170</v>
      </c>
      <c r="B73" s="402" t="s">
        <v>65</v>
      </c>
      <c r="C73" s="249" t="s">
        <v>372</v>
      </c>
      <c r="D73" s="190">
        <f>D32-D53</f>
        <v>3.2999999999105967E-4</v>
      </c>
      <c r="E73" s="190">
        <f t="shared" ref="E73" si="80">E32-E53</f>
        <v>18.416268000000002</v>
      </c>
      <c r="F73" s="190">
        <f t="shared" ref="F73:K73" si="81">F32-F53</f>
        <v>12.242000000000019</v>
      </c>
      <c r="G73" s="190">
        <f t="shared" si="81"/>
        <v>0</v>
      </c>
      <c r="H73" s="190">
        <f t="shared" si="81"/>
        <v>0</v>
      </c>
      <c r="I73" s="190">
        <f t="shared" si="81"/>
        <v>0</v>
      </c>
      <c r="J73" s="190">
        <f t="shared" si="81"/>
        <v>0</v>
      </c>
      <c r="K73" s="190">
        <f t="shared" si="81"/>
        <v>0</v>
      </c>
    </row>
    <row r="74" spans="1:11" s="139" customFormat="1">
      <c r="A74" s="402"/>
      <c r="B74" s="402"/>
      <c r="C74" s="185" t="s">
        <v>157</v>
      </c>
      <c r="D74" s="113">
        <f>IF(D10&gt;0,D73/D10*100,"")</f>
        <v>9.4820774367088481E-6</v>
      </c>
      <c r="E74" s="113">
        <f t="shared" ref="E74" si="82">IF(E10&gt;0,E73/E10*100,"")</f>
        <v>0.51784620056687813</v>
      </c>
      <c r="F74" s="113">
        <f t="shared" ref="F74:K74" si="83">IF(F10&gt;0,F73/F10*100,"")</f>
        <v>0.35201173180743212</v>
      </c>
      <c r="G74" s="113">
        <f t="shared" si="83"/>
        <v>0</v>
      </c>
      <c r="H74" s="113">
        <f t="shared" si="83"/>
        <v>0</v>
      </c>
      <c r="I74" s="113">
        <f t="shared" si="83"/>
        <v>0</v>
      </c>
      <c r="J74" s="113">
        <f t="shared" si="83"/>
        <v>0</v>
      </c>
      <c r="K74" s="113">
        <f t="shared" si="83"/>
        <v>0</v>
      </c>
    </row>
    <row r="75" spans="1:11" s="139" customFormat="1">
      <c r="A75" s="402"/>
      <c r="B75" s="402"/>
      <c r="C75" s="185" t="s">
        <v>158</v>
      </c>
      <c r="D75" s="113">
        <f>IF(D21&gt;0,D73/D21*100,"")</f>
        <v>1.1002996482410698E-5</v>
      </c>
      <c r="E75" s="113">
        <f t="shared" ref="E75" si="84">IF(E21&gt;0,E73/E21*100,"")</f>
        <v>0.60790696676464917</v>
      </c>
      <c r="F75" s="113">
        <f t="shared" ref="F75:K75" si="85">IF(F21&gt;0,F73/F21*100,"")</f>
        <v>0.41741239096286209</v>
      </c>
      <c r="G75" s="113">
        <f t="shared" si="85"/>
        <v>0</v>
      </c>
      <c r="H75" s="113">
        <f t="shared" si="85"/>
        <v>0</v>
      </c>
      <c r="I75" s="113">
        <f t="shared" si="85"/>
        <v>0</v>
      </c>
      <c r="J75" s="113">
        <f t="shared" si="85"/>
        <v>0</v>
      </c>
      <c r="K75" s="113">
        <f t="shared" si="85"/>
        <v>0</v>
      </c>
    </row>
    <row r="76" spans="1:11" s="139" customFormat="1">
      <c r="A76" s="402"/>
      <c r="B76" s="402"/>
      <c r="C76" s="259" t="s">
        <v>166</v>
      </c>
      <c r="D76" s="113">
        <f>IF(D32&gt;0,D73/D32*100,"")</f>
        <v>1.6592920353532766E-4</v>
      </c>
      <c r="E76" s="113">
        <f t="shared" ref="E76" si="86">IF(E32&gt;0,E73/E32*100,"")</f>
        <v>8.7504421246691795</v>
      </c>
      <c r="F76" s="113">
        <f t="shared" ref="F76:K76" si="87">IF(F32&gt;0,F73/F32*100,"")</f>
        <v>6.3347339225467358</v>
      </c>
      <c r="G76" s="113">
        <f t="shared" si="87"/>
        <v>0</v>
      </c>
      <c r="H76" s="113">
        <f t="shared" si="87"/>
        <v>0</v>
      </c>
      <c r="I76" s="113">
        <f t="shared" si="87"/>
        <v>0</v>
      </c>
      <c r="J76" s="113">
        <f t="shared" si="87"/>
        <v>0</v>
      </c>
      <c r="K76" s="113">
        <f t="shared" si="87"/>
        <v>0</v>
      </c>
    </row>
    <row r="77" spans="1:11">
      <c r="A77" s="402" t="s">
        <v>171</v>
      </c>
      <c r="B77" s="402" t="s">
        <v>66</v>
      </c>
      <c r="C77" s="249" t="s">
        <v>372</v>
      </c>
      <c r="D77" s="190">
        <f>D35-D57</f>
        <v>-1.8000000000029104E-4</v>
      </c>
      <c r="E77" s="190">
        <f t="shared" ref="E77" si="88">E35-E57</f>
        <v>106.17091899999997</v>
      </c>
      <c r="F77" s="190">
        <f t="shared" ref="F77:K77" si="89">F35-F57</f>
        <v>83.91500000000002</v>
      </c>
      <c r="G77" s="190">
        <f t="shared" si="89"/>
        <v>0</v>
      </c>
      <c r="H77" s="190">
        <f t="shared" si="89"/>
        <v>0</v>
      </c>
      <c r="I77" s="190">
        <f t="shared" si="89"/>
        <v>0</v>
      </c>
      <c r="J77" s="190">
        <f t="shared" si="89"/>
        <v>0</v>
      </c>
      <c r="K77" s="190">
        <f t="shared" si="89"/>
        <v>0</v>
      </c>
    </row>
    <row r="78" spans="1:11" s="139" customFormat="1">
      <c r="A78" s="402"/>
      <c r="B78" s="402"/>
      <c r="C78" s="185" t="s">
        <v>159</v>
      </c>
      <c r="D78" s="113">
        <f>IF(D11&gt;0,D77/D11*100,"")</f>
        <v>-9.4845764978670792E-6</v>
      </c>
      <c r="E78" s="113">
        <f t="shared" ref="E78" si="90">IF(E11&gt;0,E77/E11*100,"")</f>
        <v>5.3622705385254852</v>
      </c>
      <c r="F78" s="113">
        <f t="shared" ref="F78:K78" si="91">IF(F11&gt;0,F77/F11*100,"")</f>
        <v>4.34420225143724</v>
      </c>
      <c r="G78" s="113">
        <f t="shared" si="91"/>
        <v>0</v>
      </c>
      <c r="H78" s="113">
        <f t="shared" si="91"/>
        <v>0</v>
      </c>
      <c r="I78" s="113">
        <f t="shared" si="91"/>
        <v>0</v>
      </c>
      <c r="J78" s="113">
        <f t="shared" si="91"/>
        <v>0</v>
      </c>
      <c r="K78" s="113">
        <f t="shared" si="91"/>
        <v>0</v>
      </c>
    </row>
    <row r="79" spans="1:11" s="139" customFormat="1">
      <c r="A79" s="402"/>
      <c r="B79" s="402"/>
      <c r="C79" s="185" t="s">
        <v>160</v>
      </c>
      <c r="D79" s="113">
        <f>IF(D22&gt;0,D77/D22*100,"")</f>
        <v>-1.0843536800270549E-5</v>
      </c>
      <c r="E79" s="113">
        <f t="shared" ref="E79" si="92">IF(E22&gt;0,E77/E22*100,"")</f>
        <v>6.1783278564699025</v>
      </c>
      <c r="F79" s="113">
        <f t="shared" ref="F79:K79" si="93">IF(F22&gt;0,F77/F22*100,"")</f>
        <v>5.0302118425627329</v>
      </c>
      <c r="G79" s="113">
        <f t="shared" si="93"/>
        <v>0</v>
      </c>
      <c r="H79" s="113">
        <f t="shared" si="93"/>
        <v>0</v>
      </c>
      <c r="I79" s="113">
        <f t="shared" si="93"/>
        <v>0</v>
      </c>
      <c r="J79" s="113">
        <f t="shared" si="93"/>
        <v>0</v>
      </c>
      <c r="K79" s="113">
        <f t="shared" si="93"/>
        <v>0</v>
      </c>
    </row>
    <row r="80" spans="1:11" s="139" customFormat="1">
      <c r="A80" s="402"/>
      <c r="B80" s="402"/>
      <c r="C80" s="259" t="s">
        <v>289</v>
      </c>
      <c r="D80" s="113">
        <f>IF(D35&gt;0,D77/D35*100,"")</f>
        <v>-4.2797532009056685E-5</v>
      </c>
      <c r="E80" s="113">
        <f t="shared" ref="E80" si="94">IF(E35&gt;0,E77/E35*100,"")</f>
        <v>21.620190684480715</v>
      </c>
      <c r="F80" s="113">
        <f t="shared" ref="F80:K80" si="95">IF(F35&gt;0,F77/F35*100,"")</f>
        <v>18.76176592899975</v>
      </c>
      <c r="G80" s="113">
        <f t="shared" si="95"/>
        <v>0</v>
      </c>
      <c r="H80" s="113">
        <f t="shared" si="95"/>
        <v>0</v>
      </c>
      <c r="I80" s="113">
        <f t="shared" si="95"/>
        <v>0</v>
      </c>
      <c r="J80" s="113">
        <f t="shared" si="95"/>
        <v>0</v>
      </c>
      <c r="K80" s="113">
        <f t="shared" si="95"/>
        <v>0</v>
      </c>
    </row>
  </sheetData>
  <mergeCells count="37">
    <mergeCell ref="B77:B80"/>
    <mergeCell ref="A65:A68"/>
    <mergeCell ref="A69:A72"/>
    <mergeCell ref="A73:A76"/>
    <mergeCell ref="A77:A80"/>
    <mergeCell ref="B65:B68"/>
    <mergeCell ref="B69:B72"/>
    <mergeCell ref="B73:B76"/>
    <mergeCell ref="A61:A64"/>
    <mergeCell ref="B61:B64"/>
    <mergeCell ref="A41:A44"/>
    <mergeCell ref="B41:B44"/>
    <mergeCell ref="A35:A37"/>
    <mergeCell ref="A49:A52"/>
    <mergeCell ref="A53:A56"/>
    <mergeCell ref="B45:B48"/>
    <mergeCell ref="A45:A48"/>
    <mergeCell ref="B57:B60"/>
    <mergeCell ref="A57:A60"/>
    <mergeCell ref="B49:B52"/>
    <mergeCell ref="B53:B56"/>
    <mergeCell ref="B35:B37"/>
    <mergeCell ref="B39:B40"/>
    <mergeCell ref="B23:B25"/>
    <mergeCell ref="A23:A25"/>
    <mergeCell ref="A26:A28"/>
    <mergeCell ref="A29:A31"/>
    <mergeCell ref="A32:A34"/>
    <mergeCell ref="B26:B28"/>
    <mergeCell ref="B29:B31"/>
    <mergeCell ref="B32:B34"/>
    <mergeCell ref="F4:F5"/>
    <mergeCell ref="E4:E5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 tint="-0.14999847407452621"/>
    <pageSetUpPr fitToPage="1"/>
  </sheetPr>
  <dimension ref="A2:G88"/>
  <sheetViews>
    <sheetView view="pageBreakPreview" topLeftCell="A51" zoomScaleSheetLayoutView="100" workbookViewId="0">
      <selection activeCell="J13" sqref="J13"/>
    </sheetView>
  </sheetViews>
  <sheetFormatPr defaultRowHeight="15"/>
  <cols>
    <col min="1" max="1" width="9.140625" style="84" customWidth="1"/>
    <col min="2" max="2" width="40" style="84" customWidth="1"/>
    <col min="3" max="3" width="23.140625" style="84" customWidth="1"/>
    <col min="4" max="5" width="15" style="84" customWidth="1"/>
    <col min="6" max="6" width="15.42578125" style="84" customWidth="1"/>
    <col min="7" max="7" width="13.28515625" style="84" customWidth="1"/>
    <col min="8" max="16384" width="9.140625" style="84"/>
  </cols>
  <sheetData>
    <row r="2" spans="1:5" ht="15.75">
      <c r="A2" s="418" t="s">
        <v>284</v>
      </c>
      <c r="B2" s="418"/>
      <c r="C2" s="418"/>
      <c r="D2" s="418"/>
    </row>
    <row r="3" spans="1:5" ht="16.5" thickBot="1">
      <c r="A3" s="114"/>
      <c r="B3" s="114"/>
      <c r="C3" s="114"/>
      <c r="D3" s="114"/>
    </row>
    <row r="4" spans="1:5" ht="15" customHeight="1">
      <c r="A4" s="412" t="s">
        <v>22</v>
      </c>
      <c r="B4" s="414" t="s">
        <v>24</v>
      </c>
      <c r="C4" s="398" t="s">
        <v>396</v>
      </c>
      <c r="D4" s="416" t="s">
        <v>112</v>
      </c>
      <c r="E4" s="416" t="s">
        <v>112</v>
      </c>
    </row>
    <row r="5" spans="1:5" ht="36" customHeight="1" thickBot="1">
      <c r="A5" s="413"/>
      <c r="B5" s="415"/>
      <c r="C5" s="415"/>
      <c r="D5" s="417"/>
      <c r="E5" s="417"/>
    </row>
    <row r="6" spans="1:5" ht="14.25" customHeight="1" thickBot="1">
      <c r="A6" s="16">
        <v>1</v>
      </c>
      <c r="B6" s="17">
        <v>2</v>
      </c>
      <c r="C6" s="17">
        <v>3</v>
      </c>
      <c r="D6" s="36">
        <v>4</v>
      </c>
      <c r="E6" s="37" t="s">
        <v>10</v>
      </c>
    </row>
    <row r="7" spans="1:5" ht="37.5">
      <c r="A7" s="15" t="s">
        <v>39</v>
      </c>
      <c r="B7" s="115" t="s">
        <v>25</v>
      </c>
      <c r="C7" s="116"/>
      <c r="D7" s="116"/>
      <c r="E7" s="99"/>
    </row>
    <row r="8" spans="1:5" ht="37.5">
      <c r="A8" s="100" t="s">
        <v>197</v>
      </c>
      <c r="B8" s="117" t="s">
        <v>261</v>
      </c>
      <c r="C8" s="92" t="s">
        <v>10</v>
      </c>
      <c r="D8" s="101">
        <v>11892</v>
      </c>
      <c r="E8" s="101">
        <f>E9+E11+E12</f>
        <v>11892</v>
      </c>
    </row>
    <row r="9" spans="1:5" ht="18.75">
      <c r="A9" s="102"/>
      <c r="B9" s="97" t="s">
        <v>26</v>
      </c>
      <c r="C9" s="94" t="s">
        <v>198</v>
      </c>
      <c r="D9" s="103">
        <f>E9/D8</f>
        <v>0.15371678439286915</v>
      </c>
      <c r="E9" s="35">
        <v>1828</v>
      </c>
    </row>
    <row r="10" spans="1:5" ht="18.75">
      <c r="A10" s="102"/>
      <c r="B10" s="98" t="s">
        <v>191</v>
      </c>
      <c r="C10" s="94" t="s">
        <v>198</v>
      </c>
      <c r="D10" s="104"/>
      <c r="E10" s="92"/>
    </row>
    <row r="11" spans="1:5" ht="18.75">
      <c r="A11" s="102"/>
      <c r="B11" s="97" t="s">
        <v>310</v>
      </c>
      <c r="C11" s="94" t="s">
        <v>198</v>
      </c>
      <c r="D11" s="103">
        <f>E11/D8</f>
        <v>0.47149344096871848</v>
      </c>
      <c r="E11" s="35">
        <v>5607</v>
      </c>
    </row>
    <row r="12" spans="1:5" ht="18.75">
      <c r="A12" s="102"/>
      <c r="B12" s="97" t="s">
        <v>178</v>
      </c>
      <c r="C12" s="94" t="s">
        <v>198</v>
      </c>
      <c r="D12" s="103">
        <f>E12/D8</f>
        <v>0.3747897746384124</v>
      </c>
      <c r="E12" s="35">
        <v>4457</v>
      </c>
    </row>
    <row r="13" spans="1:5" ht="37.5">
      <c r="A13" s="102"/>
      <c r="B13" s="117" t="s">
        <v>179</v>
      </c>
      <c r="C13" s="94" t="s">
        <v>195</v>
      </c>
      <c r="D13" s="103">
        <f>E13/E12</f>
        <v>3.6414628673995961E-2</v>
      </c>
      <c r="E13" s="92">
        <f>39.3+123</f>
        <v>162.30000000000001</v>
      </c>
    </row>
    <row r="14" spans="1:5" ht="37.5">
      <c r="A14" s="100" t="s">
        <v>199</v>
      </c>
      <c r="B14" s="117" t="s">
        <v>262</v>
      </c>
      <c r="C14" s="92" t="s">
        <v>10</v>
      </c>
      <c r="D14" s="101">
        <v>2142</v>
      </c>
      <c r="E14" s="101">
        <f>E17+E18</f>
        <v>2142</v>
      </c>
    </row>
    <row r="15" spans="1:5" ht="18.75">
      <c r="A15" s="102"/>
      <c r="B15" s="97" t="s">
        <v>26</v>
      </c>
      <c r="C15" s="94" t="s">
        <v>200</v>
      </c>
      <c r="D15" s="104"/>
      <c r="E15" s="92"/>
    </row>
    <row r="16" spans="1:5" ht="18.75">
      <c r="A16" s="102"/>
      <c r="B16" s="97" t="s">
        <v>191</v>
      </c>
      <c r="C16" s="94" t="s">
        <v>200</v>
      </c>
      <c r="D16" s="104"/>
      <c r="E16" s="92"/>
    </row>
    <row r="17" spans="1:5" ht="18.75">
      <c r="A17" s="102"/>
      <c r="B17" s="97" t="s">
        <v>310</v>
      </c>
      <c r="C17" s="94" t="s">
        <v>200</v>
      </c>
      <c r="D17" s="104">
        <f>E17/D14</f>
        <v>0.58029878618113917</v>
      </c>
      <c r="E17" s="35">
        <v>1243</v>
      </c>
    </row>
    <row r="18" spans="1:5" ht="18.75">
      <c r="A18" s="102"/>
      <c r="B18" s="97" t="s">
        <v>192</v>
      </c>
      <c r="C18" s="94" t="s">
        <v>200</v>
      </c>
      <c r="D18" s="104">
        <f>E18/D14</f>
        <v>0.41970121381886089</v>
      </c>
      <c r="E18" s="92">
        <v>899</v>
      </c>
    </row>
    <row r="19" spans="1:5" ht="75">
      <c r="A19" s="100" t="s">
        <v>201</v>
      </c>
      <c r="B19" s="117" t="s">
        <v>27</v>
      </c>
      <c r="C19" s="92" t="s">
        <v>12</v>
      </c>
      <c r="D19" s="101">
        <v>5045</v>
      </c>
      <c r="E19" s="101">
        <f>E20+E22</f>
        <v>5045</v>
      </c>
    </row>
    <row r="20" spans="1:5" ht="29.25" customHeight="1">
      <c r="A20" s="102"/>
      <c r="B20" s="97" t="s">
        <v>26</v>
      </c>
      <c r="C20" s="94" t="s">
        <v>202</v>
      </c>
      <c r="D20" s="104">
        <f>E20/D19</f>
        <v>2.0218037661050545E-2</v>
      </c>
      <c r="E20" s="92">
        <v>102</v>
      </c>
    </row>
    <row r="21" spans="1:5" ht="29.25" customHeight="1">
      <c r="A21" s="102"/>
      <c r="B21" s="97" t="s">
        <v>191</v>
      </c>
      <c r="C21" s="94" t="s">
        <v>202</v>
      </c>
      <c r="D21" s="103"/>
      <c r="E21" s="93"/>
    </row>
    <row r="22" spans="1:5" ht="29.25" customHeight="1">
      <c r="A22" s="102"/>
      <c r="B22" s="97" t="s">
        <v>310</v>
      </c>
      <c r="C22" s="94" t="s">
        <v>202</v>
      </c>
      <c r="D22" s="103">
        <f>E22/D19</f>
        <v>0.97978196233894943</v>
      </c>
      <c r="E22" s="35">
        <v>4943</v>
      </c>
    </row>
    <row r="23" spans="1:5" ht="56.25">
      <c r="A23" s="100" t="s">
        <v>203</v>
      </c>
      <c r="B23" s="117" t="s">
        <v>28</v>
      </c>
      <c r="C23" s="92" t="s">
        <v>13</v>
      </c>
      <c r="D23" s="101">
        <v>3727.79</v>
      </c>
      <c r="E23" s="101">
        <f>E24+E26</f>
        <v>3727.79</v>
      </c>
    </row>
    <row r="24" spans="1:5" ht="18.75">
      <c r="A24" s="102"/>
      <c r="B24" s="97" t="s">
        <v>26</v>
      </c>
      <c r="C24" s="92" t="s">
        <v>204</v>
      </c>
      <c r="D24" s="103">
        <f>E24/D23</f>
        <v>0.70167579182303719</v>
      </c>
      <c r="E24" s="35">
        <v>2615.6999999999998</v>
      </c>
    </row>
    <row r="25" spans="1:5" ht="18.75">
      <c r="A25" s="102"/>
      <c r="B25" s="97" t="s">
        <v>191</v>
      </c>
      <c r="C25" s="92" t="s">
        <v>204</v>
      </c>
      <c r="D25" s="103"/>
      <c r="E25" s="93"/>
    </row>
    <row r="26" spans="1:5" ht="18.75">
      <c r="A26" s="102"/>
      <c r="B26" s="97" t="s">
        <v>310</v>
      </c>
      <c r="C26" s="92" t="s">
        <v>204</v>
      </c>
      <c r="D26" s="103">
        <f>E26/D23</f>
        <v>0.29832420817696276</v>
      </c>
      <c r="E26" s="35">
        <v>1112.0899999999999</v>
      </c>
    </row>
    <row r="27" spans="1:5" ht="18.75">
      <c r="A27" s="100" t="s">
        <v>40</v>
      </c>
      <c r="B27" s="118" t="s">
        <v>29</v>
      </c>
      <c r="C27" s="102"/>
      <c r="D27" s="102"/>
      <c r="E27" s="92"/>
    </row>
    <row r="28" spans="1:5">
      <c r="A28" s="411"/>
      <c r="B28" s="409" t="s">
        <v>30</v>
      </c>
      <c r="C28" s="95" t="s">
        <v>35</v>
      </c>
      <c r="D28" s="89">
        <v>164</v>
      </c>
      <c r="E28" s="92"/>
    </row>
    <row r="29" spans="1:5" ht="25.5">
      <c r="A29" s="411"/>
      <c r="B29" s="409"/>
      <c r="C29" s="95" t="s">
        <v>14</v>
      </c>
      <c r="D29" s="38">
        <f>(67.094+347.077)/3322.867</f>
        <v>0.12464266550542046</v>
      </c>
      <c r="E29" s="92"/>
    </row>
    <row r="30" spans="1:5">
      <c r="A30" s="411"/>
      <c r="B30" s="409" t="s">
        <v>31</v>
      </c>
      <c r="C30" s="95" t="s">
        <v>35</v>
      </c>
      <c r="D30" s="89">
        <v>497</v>
      </c>
      <c r="E30" s="92"/>
    </row>
    <row r="31" spans="1:5" ht="25.5">
      <c r="A31" s="411"/>
      <c r="B31" s="409"/>
      <c r="C31" s="95" t="s">
        <v>14</v>
      </c>
      <c r="D31" s="38">
        <f>276.918/3322.867</f>
        <v>8.3337070066301172E-2</v>
      </c>
      <c r="E31" s="92"/>
    </row>
    <row r="32" spans="1:5">
      <c r="A32" s="411"/>
      <c r="B32" s="409" t="s">
        <v>15</v>
      </c>
      <c r="C32" s="95" t="s">
        <v>35</v>
      </c>
      <c r="D32" s="89">
        <v>2</v>
      </c>
      <c r="E32" s="92"/>
    </row>
    <row r="33" spans="1:5" ht="25.5">
      <c r="A33" s="411"/>
      <c r="B33" s="409"/>
      <c r="C33" s="95" t="s">
        <v>14</v>
      </c>
      <c r="D33" s="38">
        <f>33.483/3322.867</f>
        <v>1.007653932582917E-2</v>
      </c>
      <c r="E33" s="92"/>
    </row>
    <row r="34" spans="1:5">
      <c r="A34" s="411"/>
      <c r="B34" s="409" t="s">
        <v>16</v>
      </c>
      <c r="C34" s="95" t="s">
        <v>35</v>
      </c>
      <c r="D34" s="89">
        <v>1</v>
      </c>
      <c r="E34" s="92"/>
    </row>
    <row r="35" spans="1:5" ht="25.5">
      <c r="A35" s="411"/>
      <c r="B35" s="409"/>
      <c r="C35" s="95" t="s">
        <v>14</v>
      </c>
      <c r="D35" s="38">
        <f>13.061/3322.867</f>
        <v>3.9306418222577067E-3</v>
      </c>
      <c r="E35" s="92"/>
    </row>
    <row r="36" spans="1:5">
      <c r="A36" s="411"/>
      <c r="B36" s="409" t="s">
        <v>17</v>
      </c>
      <c r="C36" s="95" t="s">
        <v>35</v>
      </c>
      <c r="D36" s="89">
        <v>9745</v>
      </c>
      <c r="E36" s="92"/>
    </row>
    <row r="37" spans="1:5" ht="25.5">
      <c r="A37" s="411"/>
      <c r="B37" s="409"/>
      <c r="C37" s="95" t="s">
        <v>14</v>
      </c>
      <c r="D37" s="38">
        <f>(535.926+199.292+404.731)/3322.867</f>
        <v>0.34306187999700261</v>
      </c>
      <c r="E37" s="92"/>
    </row>
    <row r="38" spans="1:5">
      <c r="A38" s="411"/>
      <c r="B38" s="409" t="s">
        <v>180</v>
      </c>
      <c r="C38" s="95" t="s">
        <v>35</v>
      </c>
      <c r="D38" s="89">
        <v>745</v>
      </c>
      <c r="E38" s="92"/>
    </row>
    <row r="39" spans="1:5" ht="25.5">
      <c r="A39" s="411"/>
      <c r="B39" s="409"/>
      <c r="C39" s="95" t="s">
        <v>14</v>
      </c>
      <c r="D39" s="38">
        <f>376.528/3322.867</f>
        <v>0.11331419524163923</v>
      </c>
      <c r="E39" s="92"/>
    </row>
    <row r="40" spans="1:5">
      <c r="A40" s="411"/>
      <c r="B40" s="409" t="s">
        <v>32</v>
      </c>
      <c r="C40" s="95" t="s">
        <v>35</v>
      </c>
      <c r="D40" s="89">
        <v>320918</v>
      </c>
      <c r="E40" s="92"/>
    </row>
    <row r="41" spans="1:5" ht="25.5">
      <c r="A41" s="411"/>
      <c r="B41" s="409"/>
      <c r="C41" s="95" t="s">
        <v>14</v>
      </c>
      <c r="D41" s="38">
        <f>D43+D45</f>
        <v>0.3216370080415496</v>
      </c>
      <c r="E41" s="92"/>
    </row>
    <row r="42" spans="1:5">
      <c r="A42" s="411"/>
      <c r="B42" s="371" t="s">
        <v>33</v>
      </c>
      <c r="C42" s="95" t="s">
        <v>35</v>
      </c>
      <c r="D42" s="89">
        <v>252778</v>
      </c>
      <c r="E42" s="92"/>
    </row>
    <row r="43" spans="1:5" ht="25.5">
      <c r="A43" s="411"/>
      <c r="B43" s="371"/>
      <c r="C43" s="95" t="s">
        <v>14</v>
      </c>
      <c r="D43" s="38">
        <f>817.555/3322.867</f>
        <v>0.24603903797533874</v>
      </c>
      <c r="E43" s="92"/>
    </row>
    <row r="44" spans="1:5">
      <c r="A44" s="411"/>
      <c r="B44" s="371" t="s">
        <v>34</v>
      </c>
      <c r="C44" s="95" t="s">
        <v>35</v>
      </c>
      <c r="D44" s="89">
        <v>68140</v>
      </c>
      <c r="E44" s="92"/>
    </row>
    <row r="45" spans="1:5" ht="25.5">
      <c r="A45" s="411"/>
      <c r="B45" s="371"/>
      <c r="C45" s="95" t="s">
        <v>14</v>
      </c>
      <c r="D45" s="38">
        <f>251.202/3322.867</f>
        <v>7.5597970066210884E-2</v>
      </c>
      <c r="E45" s="92"/>
    </row>
    <row r="46" spans="1:5" ht="15.75" customHeight="1">
      <c r="A46" s="420"/>
      <c r="B46" s="410" t="s">
        <v>11</v>
      </c>
      <c r="C46" s="95" t="s">
        <v>35</v>
      </c>
      <c r="D46" s="89">
        <v>332072</v>
      </c>
      <c r="E46" s="92"/>
    </row>
    <row r="47" spans="1:5" ht="25.5">
      <c r="A47" s="420"/>
      <c r="B47" s="410"/>
      <c r="C47" s="95" t="s">
        <v>14</v>
      </c>
      <c r="D47" s="121"/>
      <c r="E47" s="92"/>
    </row>
    <row r="48" spans="1:5" ht="56.25">
      <c r="A48" s="100" t="s">
        <v>41</v>
      </c>
      <c r="B48" s="118" t="s">
        <v>196</v>
      </c>
      <c r="C48" s="102"/>
      <c r="D48" s="102"/>
      <c r="E48" s="92"/>
    </row>
    <row r="49" spans="1:7" ht="18.75">
      <c r="A49" s="102"/>
      <c r="B49" s="119" t="s">
        <v>193</v>
      </c>
      <c r="C49" s="96" t="s">
        <v>12</v>
      </c>
      <c r="D49" s="96">
        <f>44+22+45</f>
        <v>111</v>
      </c>
      <c r="E49" s="92"/>
      <c r="G49" s="84" t="s">
        <v>181</v>
      </c>
    </row>
    <row r="50" spans="1:7" ht="18.75">
      <c r="A50" s="102"/>
      <c r="B50" s="120" t="s">
        <v>248</v>
      </c>
      <c r="C50" s="105" t="s">
        <v>37</v>
      </c>
      <c r="D50" s="107">
        <f>19.118+9.813+12.3266</f>
        <v>41.257599999999996</v>
      </c>
      <c r="E50" s="106"/>
    </row>
    <row r="51" spans="1:7" ht="18.75">
      <c r="A51" s="92"/>
      <c r="B51" s="120" t="s">
        <v>182</v>
      </c>
      <c r="C51" s="105" t="s">
        <v>38</v>
      </c>
      <c r="D51" s="107">
        <f>89.462+44.935+51.27541</f>
        <v>185.67240999999999</v>
      </c>
      <c r="E51" s="92"/>
    </row>
    <row r="52" spans="1:7" ht="18.75">
      <c r="A52" s="92"/>
      <c r="B52" s="120" t="s">
        <v>194</v>
      </c>
      <c r="C52" s="105" t="s">
        <v>38</v>
      </c>
      <c r="D52" s="107">
        <f>49.673+12.924+40.47588</f>
        <v>103.07288</v>
      </c>
      <c r="E52" s="92"/>
    </row>
    <row r="53" spans="1:7" ht="18.75">
      <c r="A53" s="100" t="s">
        <v>42</v>
      </c>
      <c r="B53" s="64" t="s">
        <v>36</v>
      </c>
      <c r="C53" s="105"/>
      <c r="D53" s="105"/>
      <c r="E53" s="92"/>
    </row>
    <row r="54" spans="1:7" ht="37.5">
      <c r="A54" s="92"/>
      <c r="B54" s="117" t="s">
        <v>20</v>
      </c>
      <c r="C54" s="105" t="s">
        <v>12</v>
      </c>
      <c r="D54" s="106">
        <v>453</v>
      </c>
      <c r="E54" s="101"/>
    </row>
    <row r="55" spans="1:7" ht="75">
      <c r="A55" s="92"/>
      <c r="B55" s="120" t="s">
        <v>207</v>
      </c>
      <c r="C55" s="105" t="s">
        <v>208</v>
      </c>
      <c r="D55" s="107">
        <v>60</v>
      </c>
      <c r="E55" s="101"/>
    </row>
    <row r="56" spans="1:7" ht="37.5">
      <c r="A56" s="92"/>
      <c r="B56" s="117" t="s">
        <v>21</v>
      </c>
      <c r="C56" s="105" t="s">
        <v>12</v>
      </c>
      <c r="D56" s="106">
        <v>65</v>
      </c>
      <c r="E56" s="101"/>
    </row>
    <row r="57" spans="1:7" ht="75">
      <c r="A57" s="92"/>
      <c r="B57" s="120" t="s">
        <v>209</v>
      </c>
      <c r="C57" s="105" t="s">
        <v>208</v>
      </c>
      <c r="D57" s="108">
        <f>55</f>
        <v>55</v>
      </c>
      <c r="E57" s="101"/>
    </row>
    <row r="58" spans="1:7" ht="56.25">
      <c r="A58" s="100" t="s">
        <v>43</v>
      </c>
      <c r="B58" s="118" t="s">
        <v>205</v>
      </c>
      <c r="C58" s="109" t="s">
        <v>12</v>
      </c>
      <c r="D58" s="110">
        <v>109505</v>
      </c>
      <c r="E58" s="101"/>
    </row>
    <row r="59" spans="1:7">
      <c r="A59" s="419" t="s">
        <v>210</v>
      </c>
      <c r="B59" s="408" t="s">
        <v>183</v>
      </c>
      <c r="C59" s="109" t="s">
        <v>12</v>
      </c>
      <c r="D59" s="110">
        <v>90825</v>
      </c>
      <c r="E59" s="101"/>
    </row>
    <row r="60" spans="1:7" ht="28.5" customHeight="1">
      <c r="A60" s="304"/>
      <c r="B60" s="408"/>
      <c r="C60" s="111" t="s">
        <v>214</v>
      </c>
      <c r="D60" s="112">
        <v>0.83</v>
      </c>
      <c r="E60" s="113" t="str">
        <f>IF(E59&gt;0,E59/E58*100,"")</f>
        <v/>
      </c>
    </row>
    <row r="61" spans="1:7" ht="17.25" customHeight="1">
      <c r="A61" s="304" t="s">
        <v>211</v>
      </c>
      <c r="B61" s="407" t="s">
        <v>184</v>
      </c>
      <c r="C61" s="109" t="s">
        <v>12</v>
      </c>
      <c r="D61" s="110">
        <v>6314</v>
      </c>
      <c r="E61" s="92"/>
    </row>
    <row r="62" spans="1:7" ht="26.25" customHeight="1">
      <c r="A62" s="304"/>
      <c r="B62" s="407"/>
      <c r="C62" s="111" t="s">
        <v>215</v>
      </c>
      <c r="D62" s="112">
        <v>7.0000000000000007E-2</v>
      </c>
      <c r="E62" s="113" t="str">
        <f>IF(E61&gt;0,E61/E59*100,"")</f>
        <v/>
      </c>
    </row>
    <row r="63" spans="1:7" ht="17.25" customHeight="1">
      <c r="A63" s="304"/>
      <c r="B63" s="421" t="s">
        <v>185</v>
      </c>
      <c r="C63" s="109" t="s">
        <v>12</v>
      </c>
      <c r="D63" s="110">
        <v>310</v>
      </c>
      <c r="E63" s="92"/>
    </row>
    <row r="64" spans="1:7" ht="17.25" customHeight="1">
      <c r="A64" s="304"/>
      <c r="B64" s="421"/>
      <c r="C64" s="111" t="s">
        <v>216</v>
      </c>
      <c r="D64" s="112">
        <v>0.05</v>
      </c>
      <c r="E64" s="113" t="str">
        <f>IF(E63&gt;0,E63/E61*100,"")</f>
        <v/>
      </c>
    </row>
    <row r="65" spans="1:5" ht="17.25" customHeight="1">
      <c r="A65" s="304"/>
      <c r="B65" s="421" t="s">
        <v>186</v>
      </c>
      <c r="C65" s="109" t="s">
        <v>12</v>
      </c>
      <c r="D65" s="110">
        <v>6004</v>
      </c>
      <c r="E65" s="92"/>
    </row>
    <row r="66" spans="1:5" ht="17.25" customHeight="1">
      <c r="A66" s="304"/>
      <c r="B66" s="421"/>
      <c r="C66" s="111" t="s">
        <v>216</v>
      </c>
      <c r="D66" s="112">
        <v>0.95</v>
      </c>
      <c r="E66" s="113" t="str">
        <f>IF(E65&gt;0,E65/E61*100,"")</f>
        <v/>
      </c>
    </row>
    <row r="67" spans="1:5">
      <c r="A67" s="304" t="s">
        <v>212</v>
      </c>
      <c r="B67" s="408" t="s">
        <v>52</v>
      </c>
      <c r="C67" s="109" t="s">
        <v>12</v>
      </c>
      <c r="D67" s="110">
        <v>18680</v>
      </c>
      <c r="E67" s="92"/>
    </row>
    <row r="68" spans="1:5" ht="18.75" customHeight="1">
      <c r="A68" s="304"/>
      <c r="B68" s="408"/>
      <c r="C68" s="111" t="s">
        <v>214</v>
      </c>
      <c r="D68" s="112">
        <v>0.17</v>
      </c>
      <c r="E68" s="113" t="str">
        <f>IF(E67&gt;0,E67/E58*100,"")</f>
        <v/>
      </c>
    </row>
    <row r="69" spans="1:5" ht="19.5" customHeight="1">
      <c r="A69" s="304" t="s">
        <v>213</v>
      </c>
      <c r="B69" s="408" t="s">
        <v>53</v>
      </c>
      <c r="C69" s="109" t="s">
        <v>12</v>
      </c>
      <c r="D69" s="110">
        <v>41506</v>
      </c>
      <c r="E69" s="92"/>
    </row>
    <row r="70" spans="1:5" ht="33.75" customHeight="1">
      <c r="A70" s="304"/>
      <c r="B70" s="408"/>
      <c r="C70" s="111" t="s">
        <v>217</v>
      </c>
      <c r="D70" s="112">
        <v>0.46</v>
      </c>
      <c r="E70" s="113" t="str">
        <f>IF(E69&gt;0,E69/E60*100,"")</f>
        <v/>
      </c>
    </row>
    <row r="71" spans="1:5" ht="56.25">
      <c r="A71" s="100" t="s">
        <v>106</v>
      </c>
      <c r="B71" s="118" t="s">
        <v>144</v>
      </c>
      <c r="C71" s="92"/>
      <c r="D71" s="92"/>
      <c r="E71" s="92"/>
    </row>
    <row r="72" spans="1:5">
      <c r="A72" s="304"/>
      <c r="B72" s="407" t="s">
        <v>97</v>
      </c>
      <c r="C72" s="111" t="s">
        <v>391</v>
      </c>
      <c r="D72" s="290">
        <f>(100+100+91.7)/3</f>
        <v>97.233333333333334</v>
      </c>
      <c r="E72" s="92"/>
    </row>
    <row r="73" spans="1:5">
      <c r="A73" s="304"/>
      <c r="B73" s="407"/>
      <c r="C73" s="111" t="s">
        <v>392</v>
      </c>
      <c r="D73" s="290">
        <f>(0+0+(100-91.7))/3</f>
        <v>2.7666666666666657</v>
      </c>
      <c r="E73" s="92"/>
    </row>
    <row r="74" spans="1:5">
      <c r="A74" s="304"/>
      <c r="B74" s="407"/>
      <c r="C74" s="111" t="s">
        <v>393</v>
      </c>
      <c r="D74" s="111">
        <f>18+12+11</f>
        <v>41</v>
      </c>
      <c r="E74" s="92"/>
    </row>
    <row r="75" spans="1:5">
      <c r="A75" s="304"/>
      <c r="B75" s="407" t="s">
        <v>394</v>
      </c>
      <c r="C75" s="111" t="s">
        <v>391</v>
      </c>
      <c r="D75" s="290">
        <f>(0+100+25)/3</f>
        <v>41.666666666666664</v>
      </c>
      <c r="E75" s="92"/>
    </row>
    <row r="76" spans="1:5">
      <c r="A76" s="304"/>
      <c r="B76" s="407"/>
      <c r="C76" s="111" t="s">
        <v>392</v>
      </c>
      <c r="D76" s="290">
        <f>(100+0+(100-25))/3</f>
        <v>58.333333333333336</v>
      </c>
      <c r="E76" s="92"/>
    </row>
    <row r="77" spans="1:5">
      <c r="A77" s="304"/>
      <c r="B77" s="407"/>
      <c r="C77" s="111" t="s">
        <v>393</v>
      </c>
      <c r="D77" s="111">
        <f>0+1+3</f>
        <v>4</v>
      </c>
      <c r="E77" s="92"/>
    </row>
    <row r="78" spans="1:5">
      <c r="A78" s="304"/>
      <c r="B78" s="407" t="s">
        <v>395</v>
      </c>
      <c r="C78" s="111" t="s">
        <v>391</v>
      </c>
      <c r="D78" s="290">
        <f>(0+0+0)/3</f>
        <v>0</v>
      </c>
      <c r="E78" s="92"/>
    </row>
    <row r="79" spans="1:5">
      <c r="A79" s="304"/>
      <c r="B79" s="407"/>
      <c r="C79" s="111" t="s">
        <v>392</v>
      </c>
      <c r="D79" s="290">
        <f>(100+100+100)/3</f>
        <v>100</v>
      </c>
      <c r="E79" s="92"/>
    </row>
    <row r="80" spans="1:5">
      <c r="A80" s="304"/>
      <c r="B80" s="407"/>
      <c r="C80" s="111" t="s">
        <v>393</v>
      </c>
      <c r="D80" s="111">
        <f>0+0+0</f>
        <v>0</v>
      </c>
      <c r="E80" s="92"/>
    </row>
    <row r="81" spans="1:5">
      <c r="A81" s="304"/>
      <c r="B81" s="407" t="s">
        <v>54</v>
      </c>
      <c r="C81" s="111" t="s">
        <v>391</v>
      </c>
      <c r="D81" s="290">
        <f>(100+100+0)/3</f>
        <v>66.666666666666671</v>
      </c>
      <c r="E81" s="92"/>
    </row>
    <row r="82" spans="1:5">
      <c r="A82" s="304"/>
      <c r="B82" s="407"/>
      <c r="C82" s="111" t="s">
        <v>392</v>
      </c>
      <c r="D82" s="290">
        <f>(0+0+100)/3</f>
        <v>33.333333333333336</v>
      </c>
      <c r="E82" s="92"/>
    </row>
    <row r="83" spans="1:5">
      <c r="A83" s="304"/>
      <c r="B83" s="407"/>
      <c r="C83" s="111" t="s">
        <v>393</v>
      </c>
      <c r="D83" s="111">
        <f>18+1+0</f>
        <v>19</v>
      </c>
      <c r="E83" s="92"/>
    </row>
    <row r="84" spans="1:5">
      <c r="A84" s="304"/>
      <c r="B84" s="407" t="s">
        <v>55</v>
      </c>
      <c r="C84" s="111" t="s">
        <v>391</v>
      </c>
      <c r="D84" s="290">
        <f>(100+100+91.7)/3</f>
        <v>97.233333333333334</v>
      </c>
      <c r="E84" s="92"/>
    </row>
    <row r="85" spans="1:5">
      <c r="A85" s="304"/>
      <c r="B85" s="407"/>
      <c r="C85" s="111" t="s">
        <v>392</v>
      </c>
      <c r="D85" s="290">
        <f>(0+0+(100-91.7))/3</f>
        <v>2.7666666666666657</v>
      </c>
      <c r="E85" s="92"/>
    </row>
    <row r="86" spans="1:5">
      <c r="A86" s="304"/>
      <c r="B86" s="407"/>
      <c r="C86" s="111" t="s">
        <v>393</v>
      </c>
      <c r="D86" s="111">
        <f>18+3+11</f>
        <v>32</v>
      </c>
      <c r="E86" s="92"/>
    </row>
    <row r="88" spans="1:5">
      <c r="A88" s="167" t="s">
        <v>371</v>
      </c>
    </row>
  </sheetData>
  <mergeCells count="48">
    <mergeCell ref="A2:D2"/>
    <mergeCell ref="B30:B31"/>
    <mergeCell ref="B32:B33"/>
    <mergeCell ref="A59:A60"/>
    <mergeCell ref="A67:A68"/>
    <mergeCell ref="A40:A41"/>
    <mergeCell ref="A42:A43"/>
    <mergeCell ref="A44:A45"/>
    <mergeCell ref="A46:A47"/>
    <mergeCell ref="B61:B62"/>
    <mergeCell ref="B63:B64"/>
    <mergeCell ref="B65:B66"/>
    <mergeCell ref="A30:A31"/>
    <mergeCell ref="A32:A33"/>
    <mergeCell ref="A34:A35"/>
    <mergeCell ref="A36:A37"/>
    <mergeCell ref="A38:A39"/>
    <mergeCell ref="A4:A5"/>
    <mergeCell ref="B4:B5"/>
    <mergeCell ref="C4:C5"/>
    <mergeCell ref="E4:E5"/>
    <mergeCell ref="B28:B29"/>
    <mergeCell ref="A28:A29"/>
    <mergeCell ref="D4:D5"/>
    <mergeCell ref="B59:B60"/>
    <mergeCell ref="B34:B35"/>
    <mergeCell ref="B36:B37"/>
    <mergeCell ref="B38:B39"/>
    <mergeCell ref="B46:B47"/>
    <mergeCell ref="B44:B45"/>
    <mergeCell ref="B42:B43"/>
    <mergeCell ref="B40:B41"/>
    <mergeCell ref="A61:A62"/>
    <mergeCell ref="A63:A64"/>
    <mergeCell ref="A65:A66"/>
    <mergeCell ref="B81:B83"/>
    <mergeCell ref="B84:B86"/>
    <mergeCell ref="B72:B74"/>
    <mergeCell ref="B75:B77"/>
    <mergeCell ref="B78:B80"/>
    <mergeCell ref="B69:B70"/>
    <mergeCell ref="B67:B68"/>
    <mergeCell ref="A69:A70"/>
    <mergeCell ref="A84:A86"/>
    <mergeCell ref="A72:A74"/>
    <mergeCell ref="A75:A77"/>
    <mergeCell ref="A78:A80"/>
    <mergeCell ref="A81:A83"/>
  </mergeCells>
  <pageMargins left="0.70866141732283472" right="0.19685039370078741" top="0.19685039370078741" bottom="0.19685039370078741" header="0.31496062992125984" footer="0.23622047244094491"/>
  <pageSetup paperSize="8" fitToHeight="3" orientation="landscape" r:id="rId1"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Паспорт программы</vt:lpstr>
      <vt:lpstr>Ф1-Целевые показатели программ</vt:lpstr>
      <vt:lpstr>Ф2-Перечень меропр с прям зат </vt:lpstr>
      <vt:lpstr>Ф3-Перечень меропр с сопут эф</vt:lpstr>
      <vt:lpstr>Ф4-Показатели баланса</vt:lpstr>
      <vt:lpstr>Ф5-Справочно Показатели работы</vt:lpstr>
      <vt:lpstr>'Ф1-Целевые показатели программ'!Заголовки_для_печати</vt:lpstr>
      <vt:lpstr>'Ф2-Перечень меропр с прям зат '!Заголовки_для_печати</vt:lpstr>
      <vt:lpstr>'Ф3-Перечень меропр с сопут эф'!Заголовки_для_печати</vt:lpstr>
      <vt:lpstr>'Ф4-Показатели баланса'!Заголовки_для_печати</vt:lpstr>
      <vt:lpstr>'Ф5-Справочно Показатели работы'!Заголовки_для_печати</vt:lpstr>
      <vt:lpstr>'Паспорт программы'!Область_печати</vt:lpstr>
      <vt:lpstr>'Ф1-Целевые показатели программ'!Область_печати</vt:lpstr>
      <vt:lpstr>'Ф2-Перечень меропр с прям зат '!Область_печати</vt:lpstr>
      <vt:lpstr>'Ф3-Перечень меропр с сопут эф'!Область_печати</vt:lpstr>
      <vt:lpstr>'Ф4-Показатели баланса'!Область_печати</vt:lpstr>
      <vt:lpstr>'Ф5-Справочно Показатели работы'!Область_печати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Туркина</dc:creator>
  <cp:lastModifiedBy>Татьяна П. Басалаева</cp:lastModifiedBy>
  <cp:lastPrinted>2014-12-17T12:31:03Z</cp:lastPrinted>
  <dcterms:created xsi:type="dcterms:W3CDTF">2014-03-11T09:58:45Z</dcterms:created>
  <dcterms:modified xsi:type="dcterms:W3CDTF">2015-02-28T13:38:31Z</dcterms:modified>
</cp:coreProperties>
</file>